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I:\FINANCE\TREASURER\Website Changes &amp; Additions\2024 Tourism Taxes\"/>
    </mc:Choice>
  </mc:AlternateContent>
  <xr:revisionPtr revIDLastSave="0" documentId="13_ncr:1_{14829267-4BAC-404A-B017-67C4C277C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urism Tax Form" sheetId="2" r:id="rId1"/>
    <sheet name="FB Permit Register Report" sheetId="6" state="veryHidden" r:id="rId2"/>
  </sheets>
  <definedNames>
    <definedName name="ActiveMonths">'Tourism Tax Form'!$K$2</definedName>
    <definedName name="Adjustments">'Tourism Tax Form'!$E$37</definedName>
    <definedName name="bevORlodging">'Tourism Tax Form'!$B$26</definedName>
    <definedName name="CityTaxInfo">'Tourism Tax Form'!$I$51</definedName>
    <definedName name="DatePaid">'Tourism Tax Form'!$L$29</definedName>
    <definedName name="DateSigned">'Tourism Tax Form'!$F$42</definedName>
    <definedName name="DaysLate">'Tourism Tax Form'!$T$62</definedName>
    <definedName name="Deductions">'Tourism Tax Form'!$D$20</definedName>
    <definedName name="Deleetsss">#REF!</definedName>
    <definedName name="DeleteAll">#REF!</definedName>
    <definedName name="DeleteDelete">#REF!</definedName>
    <definedName name="DeleteEverything">#REF!</definedName>
    <definedName name="DeletePlease">#REF!</definedName>
    <definedName name="DeletePleases">#REF!</definedName>
    <definedName name="DeleteSoMuch">#REF!</definedName>
    <definedName name="Deletess">#REF!</definedName>
    <definedName name="Deletessss">#REF!</definedName>
    <definedName name="DueDate">'Tourism Tax Form'!$D$16</definedName>
    <definedName name="Email">'Tourism Tax Form'!$F$46</definedName>
    <definedName name="GrossSales">'Tourism Tax Form'!$D$17</definedName>
    <definedName name="Interest">'Tourism Tax Form'!$E$36</definedName>
    <definedName name="Interest1">'Tourism Tax Form'!$W$62</definedName>
    <definedName name="Interest2">'Tourism Tax Form'!$W$63</definedName>
    <definedName name="Interest3">'Tourism Tax Form'!$W$64</definedName>
    <definedName name="Interest4">'Tourism Tax Form'!$W$65</definedName>
    <definedName name="LiquorTaxInfo">'Tourism Tax Form'!$I$52</definedName>
    <definedName name="LODGING30PLUS">'Tourism Tax Form'!$E$29</definedName>
    <definedName name="MNTaxInfo">'Tourism Tax Form'!$I$49</definedName>
    <definedName name="NetSales">'Tourism Tax Form'!$D$23</definedName>
    <definedName name="oob">'Tourism Tax Form'!$G$11</definedName>
    <definedName name="OrgAddress">'Tourism Tax Form'!$C$51:$D$58</definedName>
    <definedName name="OrgName">'Tourism Tax Form'!$C$49</definedName>
    <definedName name="Penalty">#REF!</definedName>
    <definedName name="Penalty1">'Tourism Tax Form'!$U$62</definedName>
    <definedName name="Penalty2">'Tourism Tax Form'!$U$63</definedName>
    <definedName name="Penalty3">'Tourism Tax Form'!$U$64</definedName>
    <definedName name="Penalty4">'Tourism Tax Form'!$U$65</definedName>
    <definedName name="PenaltyDue">'Tourism Tax Form'!$E$35</definedName>
    <definedName name="PeriodReturn">'Tourism Tax Form'!$D$15</definedName>
    <definedName name="Permit">'Tourism Tax Form'!$M$63</definedName>
    <definedName name="PermitLocation">'Tourism Tax Form'!$D$13</definedName>
    <definedName name="PermitNumber">'Tourism Tax Form'!$D$14</definedName>
    <definedName name="Phone">'Tourism Tax Form'!$F$44</definedName>
    <definedName name="_xlnm.Print_Area" localSheetId="1">Table1[[#Headers],[Column1]]</definedName>
    <definedName name="_xlnm.Print_Area" localSheetId="0">'Tourism Tax Form'!$B$1:$I$58</definedName>
    <definedName name="PrintName">'Tourism Tax Form'!$D$44</definedName>
    <definedName name="Remitted">'Tourism Tax Form'!$E$38</definedName>
    <definedName name="ReturnPeriod">'Tourism Tax Form'!$N$2</definedName>
    <definedName name="SLCTaxInfo">'Tourism Tax Form'!$I$50</definedName>
    <definedName name="TaxDue">'Tourism Tax Form'!$E$26</definedName>
    <definedName name="TaxInfo1">'Tourism Tax Form'!$E$48</definedName>
    <definedName name="TaxTotal1">'Tourism Tax Form'!$I$55</definedName>
    <definedName name="TaxTotal2">'Tourism Tax Form'!$I$56</definedName>
    <definedName name="Title">'Tourism Tax Form'!$D$46</definedName>
    <definedName name="TotalLodging30Plus">'Tourism Tax Form'!$E$32</definedName>
    <definedName name="TourismTaxInfo">'Tourism Tax Form'!$I$53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2" l="1"/>
  <c r="H4" i="2" s="1"/>
  <c r="M6" i="2"/>
  <c r="M9" i="2"/>
  <c r="M8" i="2"/>
  <c r="M7" i="2"/>
  <c r="D16" i="2" l="1"/>
  <c r="L27" i="2" s="1"/>
  <c r="D15" i="2"/>
  <c r="S62" i="2"/>
  <c r="S65" i="2" l="1"/>
  <c r="S64" i="2"/>
  <c r="S63" i="2"/>
  <c r="E52" i="2" l="1"/>
  <c r="E53" i="2"/>
  <c r="F26" i="2"/>
  <c r="E48" i="2"/>
  <c r="I56" i="2"/>
  <c r="I55" i="2"/>
  <c r="I53" i="2"/>
  <c r="I52" i="2"/>
  <c r="E56" i="2"/>
  <c r="E55" i="2"/>
  <c r="C26" i="2"/>
  <c r="C32" i="2"/>
  <c r="D23" i="2"/>
  <c r="E26" i="2" s="1"/>
  <c r="C29" i="2"/>
  <c r="F32" i="2"/>
  <c r="F29" i="2"/>
  <c r="B32" i="2"/>
  <c r="B26" i="2"/>
  <c r="B29" i="2"/>
  <c r="E29" i="2" l="1"/>
  <c r="E32" i="2" s="1"/>
  <c r="Q63" i="2" s="1"/>
  <c r="L37" i="2" l="1"/>
  <c r="Q62" i="2"/>
  <c r="U62" i="2" s="1"/>
  <c r="Q64" i="2"/>
  <c r="U64" i="2" s="1"/>
  <c r="V64" i="2" s="1"/>
  <c r="U63" i="2"/>
  <c r="V63" i="2" s="1"/>
  <c r="Q65" i="2"/>
  <c r="R62" i="2" l="1"/>
  <c r="T62" i="2" s="1"/>
  <c r="R63" i="2"/>
  <c r="T63" i="2" s="1"/>
  <c r="W63" i="2" s="1"/>
  <c r="X63" i="2" s="1"/>
  <c r="Y63" i="2" s="1"/>
  <c r="R64" i="2"/>
  <c r="T64" i="2" s="1"/>
  <c r="W64" i="2" s="1"/>
  <c r="X64" i="2" s="1"/>
  <c r="Y64" i="2" s="1"/>
  <c r="R65" i="2"/>
  <c r="T65" i="2" s="1"/>
  <c r="U65" i="2"/>
  <c r="V62" i="2"/>
  <c r="E36" i="2" l="1"/>
  <c r="E35" i="2"/>
  <c r="V65" i="2"/>
  <c r="W65" i="2" s="1"/>
  <c r="W62" i="2"/>
  <c r="X62" i="2" s="1"/>
  <c r="Y62" i="2" s="1"/>
  <c r="L38" i="2" l="1"/>
  <c r="X65" i="2"/>
  <c r="Y65" i="2" s="1"/>
</calcChain>
</file>

<file path=xl/sharedStrings.xml><?xml version="1.0" encoding="utf-8"?>
<sst xmlns="http://schemas.openxmlformats.org/spreadsheetml/2006/main" count="87" uniqueCount="84">
  <si>
    <t>Penalty:</t>
  </si>
  <si>
    <t>Interest:</t>
  </si>
  <si>
    <t>Adjustments:</t>
  </si>
  <si>
    <t>No sales?  Write NONE here, sign and mail return.</t>
  </si>
  <si>
    <t>Non-taxable sales only.  Business expenses are NOT allowable deductions.</t>
  </si>
  <si>
    <t>Line 1 minus Line 2</t>
  </si>
  <si>
    <t>City of Duluth Finance Department</t>
  </si>
  <si>
    <t>LOCATION</t>
  </si>
  <si>
    <t>PERMIT #</t>
  </si>
  <si>
    <t>PERIOD OF RETURN</t>
  </si>
  <si>
    <t>DUE DATE</t>
  </si>
  <si>
    <t>SIGNATURE</t>
  </si>
  <si>
    <t>DATE</t>
  </si>
  <si>
    <t>PRINT NAME</t>
  </si>
  <si>
    <t>TITLE</t>
  </si>
  <si>
    <t>PHONE</t>
  </si>
  <si>
    <t>E-MAIL</t>
  </si>
  <si>
    <t>I hereby declare under the penalties of criminal liability for willfully making a false return, that this return has been examined by me and to the best of my knowledge and belief is true and complete for the period stated.</t>
  </si>
  <si>
    <t>411 W 1st St, Room 120
Duluth, Minnesota, 55802-1190
Telephone: 218-730-5350
Treasury@DuluthMN.gov</t>
  </si>
  <si>
    <t>Make checks payable to the City of Duluth and remit to:</t>
  </si>
  <si>
    <t>Return and payment MUST be postmarked by this date to avoid penalties.</t>
  </si>
  <si>
    <t>Permit ID</t>
  </si>
  <si>
    <t>Permit Type</t>
  </si>
  <si>
    <t>Monthly</t>
  </si>
  <si>
    <t>BB</t>
  </si>
  <si>
    <t>Permit:</t>
  </si>
  <si>
    <t>A</t>
  </si>
  <si>
    <t>AA</t>
  </si>
  <si>
    <t>1.</t>
  </si>
  <si>
    <t>GROSS SALES</t>
  </si>
  <si>
    <t>DEDUCTIONS</t>
  </si>
  <si>
    <t>2.</t>
  </si>
  <si>
    <t>3.</t>
  </si>
  <si>
    <t>NET SALES</t>
  </si>
  <si>
    <t>5.</t>
  </si>
  <si>
    <t>IF APPLICABLE</t>
  </si>
  <si>
    <t>TOTAL AMOUNT REMITTED</t>
  </si>
  <si>
    <t>6.</t>
  </si>
  <si>
    <t>MN State Sales/Use Tax*</t>
  </si>
  <si>
    <t>Duluth City Sales/Use Tax*</t>
  </si>
  <si>
    <t>St. Louis County Transit Sales/Use Tax*</t>
  </si>
  <si>
    <t>*Indicates a tax collected by the state of MN</t>
  </si>
  <si>
    <t>Out of business?
Write last day, sign and return:</t>
  </si>
  <si>
    <t>Penalty &amp; Interest Calculator</t>
  </si>
  <si>
    <t>Days Late</t>
  </si>
  <si>
    <t>Tax Due</t>
  </si>
  <si>
    <t>Due Date</t>
  </si>
  <si>
    <t xml:space="preserve"> Date Paid</t>
  </si>
  <si>
    <t>Penalty</t>
  </si>
  <si>
    <t>Interest</t>
  </si>
  <si>
    <t>1-30</t>
  </si>
  <si>
    <t>31-60</t>
  </si>
  <si>
    <t>61-90</t>
  </si>
  <si>
    <t>91+</t>
  </si>
  <si>
    <t>P&amp;I</t>
  </si>
  <si>
    <t>Total Due</t>
  </si>
  <si>
    <t>Tax &amp; Pen</t>
  </si>
  <si>
    <t xml:space="preserve">City Treasurer
411 W 1st St, Room 120
Duluth, MN  55802
</t>
  </si>
  <si>
    <t>Monthly or Quarterly?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</si>
  <si>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</si>
  <si>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</si>
  <si>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</si>
  <si>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</si>
  <si>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</si>
  <si>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</si>
  <si>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</si>
  <si>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</si>
  <si>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</si>
  <si>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</si>
  <si>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</si>
  <si>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</si>
  <si>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</si>
  <si>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</si>
  <si>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</si>
  <si>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</si>
  <si>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</si>
  <si>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Return Period Start:</t>
  </si>
  <si>
    <t>Return Type:</t>
  </si>
  <si>
    <t>Food &amp; Beverage</t>
  </si>
  <si>
    <t>Lodging 30+ Units</t>
  </si>
  <si>
    <t>Lodging &lt;30 Units</t>
  </si>
  <si>
    <t>ORGANIZATION 
NAME</t>
  </si>
  <si>
    <t>Fill in orange fields above, then blue fields on form.</t>
  </si>
  <si>
    <t>2025 TOURISM TAX
RETURN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</si>
</sst>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[$-409]mmmm\ d\,\ yyyy;@"/>
    <numFmt numFmtId="166" formatCode="0.0%"/>
    <numFmt numFmtId="167" formatCode="0.000%"/>
    <numFmt numFmtId="168" formatCode="&quot;$&quot;#,##0.00"/>
    <numFmt numFmtId="169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5F5F5F"/>
      <name val="Calibri"/>
      <family val="2"/>
      <scheme val="minor"/>
    </font>
    <font>
      <sz val="11"/>
      <color rgb="FF000000"/>
      <name val="Calibri"/>
      <family val="2"/>
    </font>
    <font>
      <b/>
      <sz val="1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7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i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0" borderId="0"/>
    <xf numFmtId="0" fontId="19" fillId="0" borderId="0" applyNumberFormat="0" applyBorder="0" applyAlignment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2" fillId="9" borderId="36" applyNumberFormat="0" applyAlignment="0" applyProtection="0"/>
  </cellStyleXfs>
  <cellXfs count="182">
    <xf numFmtId="0" fontId="0" fillId="0" borderId="0" xfId="0"/>
    <xf numFmtId="0" fontId="14" fillId="4" borderId="0" xfId="0" applyFont="1" applyFill="1"/>
    <xf numFmtId="0" fontId="12" fillId="4" borderId="0" xfId="0" applyFont="1" applyFill="1" applyAlignment="1">
      <alignment vertical="center"/>
    </xf>
    <xf numFmtId="0" fontId="13" fillId="4" borderId="5" xfId="0" applyFont="1" applyFill="1" applyBorder="1"/>
    <xf numFmtId="0" fontId="19" fillId="0" borderId="0" xfId="5"/>
    <xf numFmtId="0" fontId="19" fillId="0" borderId="0" xfId="5" applyAlignment="1">
      <alignment wrapText="1"/>
    </xf>
    <xf numFmtId="0" fontId="19" fillId="5" borderId="0" xfId="5" applyFill="1" applyAlignment="1">
      <alignment wrapText="1"/>
    </xf>
    <xf numFmtId="0" fontId="19" fillId="5" borderId="0" xfId="5" applyNumberFormat="1" applyFill="1" applyAlignment="1">
      <alignment wrapText="1"/>
    </xf>
    <xf numFmtId="0" fontId="2" fillId="2" borderId="0" xfId="2" applyAlignment="1" applyProtection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22" fontId="0" fillId="0" borderId="0" xfId="0" applyNumberFormat="1"/>
    <xf numFmtId="0" fontId="0" fillId="4" borderId="0" xfId="0" applyFill="1"/>
    <xf numFmtId="0" fontId="0" fillId="4" borderId="5" xfId="0" applyFill="1" applyBorder="1"/>
    <xf numFmtId="0" fontId="3" fillId="4" borderId="0" xfId="0" applyFont="1" applyFill="1" applyAlignment="1">
      <alignment horizontal="left"/>
    </xf>
    <xf numFmtId="0" fontId="0" fillId="4" borderId="0" xfId="0" applyFill="1" applyAlignment="1">
      <alignment horizontal="right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4" borderId="10" xfId="0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3" fillId="0" borderId="0" xfId="0" applyFont="1"/>
    <xf numFmtId="0" fontId="0" fillId="4" borderId="0" xfId="0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0" fillId="4" borderId="9" xfId="0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23" fillId="4" borderId="0" xfId="0" applyFont="1" applyFill="1" applyAlignment="1">
      <alignment horizontal="right"/>
    </xf>
    <xf numFmtId="0" fontId="0" fillId="4" borderId="0" xfId="0" applyFill="1" applyAlignment="1">
      <alignment wrapText="1"/>
    </xf>
    <xf numFmtId="167" fontId="23" fillId="6" borderId="0" xfId="0" applyNumberFormat="1" applyFont="1" applyFill="1" applyAlignment="1">
      <alignment horizontal="left" indent="1"/>
    </xf>
    <xf numFmtId="0" fontId="23" fillId="6" borderId="0" xfId="0" applyFont="1" applyFill="1" applyAlignment="1">
      <alignment horizontal="left" indent="1"/>
    </xf>
    <xf numFmtId="166" fontId="23" fillId="6" borderId="0" xfId="0" applyNumberFormat="1" applyFont="1" applyFill="1" applyAlignment="1">
      <alignment horizontal="left" indent="1"/>
    </xf>
    <xf numFmtId="0" fontId="22" fillId="6" borderId="0" xfId="0" applyFont="1" applyFill="1" applyAlignment="1">
      <alignment horizontal="left" indent="1"/>
    </xf>
    <xf numFmtId="0" fontId="0" fillId="6" borderId="0" xfId="0" applyFill="1"/>
    <xf numFmtId="0" fontId="22" fillId="6" borderId="0" xfId="0" applyFont="1" applyFill="1" applyAlignment="1">
      <alignment horizontal="right" vertical="center"/>
    </xf>
    <xf numFmtId="43" fontId="1" fillId="4" borderId="0" xfId="1" applyFont="1" applyFill="1" applyBorder="1" applyAlignment="1" applyProtection="1">
      <alignment horizontal="center" vertical="center"/>
    </xf>
    <xf numFmtId="0" fontId="21" fillId="6" borderId="0" xfId="0" applyFont="1" applyFill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30" xfId="4" applyFont="1" applyBorder="1" applyAlignment="1">
      <alignment horizontal="center"/>
    </xf>
    <xf numFmtId="0" fontId="17" fillId="0" borderId="31" xfId="4" applyFont="1" applyBorder="1" applyAlignment="1">
      <alignment horizontal="center"/>
    </xf>
    <xf numFmtId="0" fontId="17" fillId="0" borderId="32" xfId="4" applyFont="1" applyBorder="1" applyAlignment="1">
      <alignment horizontal="center"/>
    </xf>
    <xf numFmtId="168" fontId="7" fillId="0" borderId="31" xfId="6" applyNumberFormat="1" applyFont="1" applyFill="1" applyBorder="1" applyAlignment="1" applyProtection="1">
      <alignment horizontal="center"/>
    </xf>
    <xf numFmtId="14" fontId="7" fillId="0" borderId="31" xfId="6" applyNumberFormat="1" applyFont="1" applyFill="1" applyBorder="1" applyAlignment="1" applyProtection="1">
      <alignment horizontal="center"/>
    </xf>
    <xf numFmtId="169" fontId="24" fillId="0" borderId="31" xfId="7" applyNumberFormat="1" applyFont="1" applyFill="1" applyBorder="1" applyAlignment="1" applyProtection="1">
      <alignment horizontal="center"/>
    </xf>
    <xf numFmtId="44" fontId="7" fillId="0" borderId="31" xfId="6" applyFont="1" applyFill="1" applyBorder="1" applyAlignment="1" applyProtection="1">
      <alignment horizontal="center"/>
    </xf>
    <xf numFmtId="44" fontId="24" fillId="0" borderId="31" xfId="6" applyFont="1" applyFill="1" applyBorder="1" applyAlignment="1" applyProtection="1">
      <alignment horizontal="center"/>
    </xf>
    <xf numFmtId="44" fontId="24" fillId="0" borderId="32" xfId="6" applyFont="1" applyFill="1" applyBorder="1" applyAlignment="1" applyProtection="1">
      <alignment horizontal="center"/>
    </xf>
    <xf numFmtId="168" fontId="7" fillId="0" borderId="33" xfId="6" applyNumberFormat="1" applyFont="1" applyFill="1" applyBorder="1" applyAlignment="1" applyProtection="1">
      <alignment horizontal="center"/>
    </xf>
    <xf numFmtId="14" fontId="7" fillId="0" borderId="33" xfId="6" applyNumberFormat="1" applyFont="1" applyFill="1" applyBorder="1" applyAlignment="1" applyProtection="1">
      <alignment horizontal="center"/>
    </xf>
    <xf numFmtId="169" fontId="24" fillId="0" borderId="33" xfId="7" applyNumberFormat="1" applyFont="1" applyFill="1" applyBorder="1" applyAlignment="1" applyProtection="1">
      <alignment horizontal="center"/>
    </xf>
    <xf numFmtId="44" fontId="7" fillId="0" borderId="33" xfId="6" applyFont="1" applyFill="1" applyBorder="1" applyAlignment="1" applyProtection="1">
      <alignment horizontal="center"/>
    </xf>
    <xf numFmtId="44" fontId="24" fillId="0" borderId="33" xfId="6" applyFont="1" applyFill="1" applyBorder="1" applyAlignment="1" applyProtection="1">
      <alignment horizontal="center"/>
    </xf>
    <xf numFmtId="44" fontId="24" fillId="0" borderId="34" xfId="6" applyFont="1" applyFill="1" applyBorder="1" applyAlignment="1" applyProtection="1">
      <alignment horizontal="center"/>
    </xf>
    <xf numFmtId="16" fontId="27" fillId="8" borderId="30" xfId="4" quotePrefix="1" applyNumberFormat="1" applyFont="1" applyFill="1" applyBorder="1" applyAlignment="1">
      <alignment horizontal="center"/>
    </xf>
    <xf numFmtId="0" fontId="27" fillId="8" borderId="30" xfId="4" quotePrefix="1" applyFont="1" applyFill="1" applyBorder="1" applyAlignment="1">
      <alignment horizontal="center"/>
    </xf>
    <xf numFmtId="0" fontId="27" fillId="8" borderId="35" xfId="4" quotePrefix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8" fillId="4" borderId="0" xfId="0" applyFont="1" applyFill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49" fontId="10" fillId="4" borderId="9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9" xfId="0" quotePrefix="1" applyFont="1" applyFill="1" applyBorder="1" applyAlignment="1">
      <alignment horizontal="left" vertical="center"/>
    </xf>
    <xf numFmtId="0" fontId="15" fillId="4" borderId="0" xfId="0" applyFont="1" applyFill="1" applyAlignment="1">
      <alignment horizontal="right"/>
    </xf>
    <xf numFmtId="0" fontId="3" fillId="0" borderId="0" xfId="0" applyFont="1"/>
    <xf numFmtId="0" fontId="7" fillId="4" borderId="0" xfId="0" applyFont="1" applyFill="1" applyAlignment="1">
      <alignment vertical="top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shrinkToFit="1"/>
    </xf>
    <xf numFmtId="0" fontId="0" fillId="4" borderId="0" xfId="0" applyFill="1" applyAlignment="1">
      <alignment vertical="top" wrapText="1"/>
    </xf>
    <xf numFmtId="0" fontId="31" fillId="4" borderId="0" xfId="0" applyFont="1" applyFill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31" fillId="4" borderId="0" xfId="0" applyFont="1" applyFill="1" applyAlignment="1">
      <alignment horizontal="center"/>
    </xf>
    <xf numFmtId="164" fontId="0" fillId="4" borderId="6" xfId="0" applyNumberFormat="1" applyFill="1" applyBorder="1" applyAlignment="1">
      <alignment vertical="center"/>
    </xf>
    <xf numFmtId="164" fontId="0" fillId="4" borderId="17" xfId="0" applyNumberFormat="1" applyFill="1" applyBorder="1" applyAlignment="1">
      <alignment vertical="center"/>
    </xf>
    <xf numFmtId="0" fontId="0" fillId="7" borderId="6" xfId="0" applyFill="1" applyBorder="1" applyAlignment="1" applyProtection="1">
      <alignment horizontal="left" vertical="center" indent="1"/>
      <protection locked="0"/>
    </xf>
    <xf numFmtId="164" fontId="0" fillId="4" borderId="6" xfId="0" applyNumberFormat="1" applyFill="1" applyBorder="1" applyAlignment="1">
      <alignment horizontal="left" vertical="center" indent="1"/>
    </xf>
    <xf numFmtId="165" fontId="0" fillId="4" borderId="4" xfId="0" applyNumberFormat="1" applyFill="1" applyBorder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3" fontId="5" fillId="0" borderId="5" xfId="1" applyFont="1" applyBorder="1" applyAlignment="1" applyProtection="1">
      <alignment horizontal="left" vertical="center" indent="1"/>
    </xf>
    <xf numFmtId="43" fontId="5" fillId="4" borderId="5" xfId="1" applyFont="1" applyFill="1" applyBorder="1" applyAlignment="1" applyProtection="1">
      <alignment horizontal="left" vertical="center" indent="1"/>
    </xf>
    <xf numFmtId="43" fontId="5" fillId="4" borderId="5" xfId="1" applyFont="1" applyFill="1" applyBorder="1" applyAlignment="1" applyProtection="1">
      <alignment horizontal="left" vertical="center" indent="1"/>
      <protection locked="0"/>
    </xf>
    <xf numFmtId="0" fontId="30" fillId="4" borderId="0" xfId="8" applyFill="1" applyBorder="1" applyProtection="1"/>
    <xf numFmtId="0" fontId="30" fillId="0" borderId="0" xfId="8"/>
    <xf numFmtId="14" fontId="33" fillId="9" borderId="36" xfId="9" applyNumberFormat="1" applyFont="1" applyAlignment="1" applyProtection="1">
      <alignment horizontal="center" vertical="center"/>
      <protection locked="0"/>
    </xf>
    <xf numFmtId="43" fontId="1" fillId="7" borderId="0" xfId="1" applyFont="1" applyFill="1" applyBorder="1" applyAlignment="1" applyProtection="1">
      <alignment horizontal="left" vertical="center" indent="1"/>
      <protection locked="0"/>
    </xf>
    <xf numFmtId="43" fontId="1" fillId="7" borderId="5" xfId="1" applyFont="1" applyFill="1" applyBorder="1" applyAlignment="1" applyProtection="1">
      <alignment horizontal="left" vertical="center" indent="1"/>
      <protection locked="0"/>
    </xf>
    <xf numFmtId="0" fontId="18" fillId="4" borderId="0" xfId="0" applyFont="1" applyFill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43" fontId="3" fillId="7" borderId="0" xfId="1" applyFont="1" applyFill="1" applyBorder="1" applyAlignment="1" applyProtection="1">
      <alignment horizontal="left" vertical="center" indent="1"/>
    </xf>
    <xf numFmtId="43" fontId="3" fillId="7" borderId="5" xfId="1" applyFont="1" applyFill="1" applyBorder="1" applyAlignment="1" applyProtection="1">
      <alignment horizontal="left" vertical="center" indent="1"/>
    </xf>
    <xf numFmtId="43" fontId="3" fillId="7" borderId="3" xfId="1" applyFont="1" applyFill="1" applyBorder="1" applyAlignment="1" applyProtection="1">
      <alignment horizontal="left" vertical="center" indent="1"/>
      <protection locked="0"/>
    </xf>
    <xf numFmtId="43" fontId="3" fillId="7" borderId="5" xfId="1" applyFont="1" applyFill="1" applyBorder="1" applyAlignment="1" applyProtection="1">
      <alignment horizontal="left" vertical="center" indent="1"/>
      <protection locked="0"/>
    </xf>
    <xf numFmtId="43" fontId="1" fillId="4" borderId="0" xfId="1" applyFont="1" applyFill="1" applyBorder="1" applyAlignment="1" applyProtection="1">
      <alignment horizontal="left" vertical="center" indent="1"/>
    </xf>
    <xf numFmtId="43" fontId="3" fillId="4" borderId="0" xfId="1" applyFont="1" applyFill="1" applyBorder="1" applyAlignment="1" applyProtection="1">
      <alignment horizontal="left" vertical="center" indent="1"/>
    </xf>
    <xf numFmtId="0" fontId="33" fillId="9" borderId="37" xfId="9" applyNumberFormat="1" applyFont="1" applyBorder="1" applyAlignment="1" applyProtection="1">
      <alignment horizontal="center" vertical="center"/>
      <protection locked="0"/>
    </xf>
    <xf numFmtId="0" fontId="33" fillId="9" borderId="38" xfId="9" applyNumberFormat="1" applyFont="1" applyBorder="1" applyAlignment="1" applyProtection="1">
      <alignment horizontal="center" vertical="center"/>
      <protection locked="0"/>
    </xf>
    <xf numFmtId="0" fontId="31" fillId="4" borderId="5" xfId="0" applyFont="1" applyFill="1" applyBorder="1" applyAlignment="1">
      <alignment horizontal="center"/>
    </xf>
    <xf numFmtId="49" fontId="10" fillId="4" borderId="7" xfId="0" applyNumberFormat="1" applyFont="1" applyFill="1" applyBorder="1" applyAlignment="1">
      <alignment horizontal="left" vertical="center"/>
    </xf>
    <xf numFmtId="49" fontId="10" fillId="4" borderId="9" xfId="0" applyNumberFormat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right" wrapText="1"/>
    </xf>
    <xf numFmtId="0" fontId="25" fillId="4" borderId="0" xfId="0" applyFont="1" applyFill="1" applyAlignment="1">
      <alignment horizontal="right"/>
    </xf>
    <xf numFmtId="0" fontId="25" fillId="4" borderId="1" xfId="0" applyFont="1" applyFill="1" applyBorder="1" applyAlignment="1">
      <alignment horizontal="right"/>
    </xf>
    <xf numFmtId="0" fontId="10" fillId="4" borderId="13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0" fillId="7" borderId="14" xfId="0" applyFill="1" applyBorder="1" applyAlignment="1" applyProtection="1">
      <alignment horizontal="left" vertical="center" indent="1" shrinkToFit="1"/>
      <protection locked="0"/>
    </xf>
    <xf numFmtId="0" fontId="0" fillId="7" borderId="15" xfId="0" applyFill="1" applyBorder="1" applyAlignment="1" applyProtection="1">
      <alignment horizontal="left" vertical="center" indent="1" shrinkToFit="1"/>
      <protection locked="0"/>
    </xf>
    <xf numFmtId="165" fontId="18" fillId="4" borderId="4" xfId="0" applyNumberFormat="1" applyFont="1" applyFill="1" applyBorder="1" applyAlignment="1">
      <alignment horizontal="left" vertical="center"/>
    </xf>
    <xf numFmtId="165" fontId="18" fillId="4" borderId="19" xfId="0" applyNumberFormat="1" applyFont="1" applyFill="1" applyBorder="1" applyAlignment="1">
      <alignment horizontal="left" vertical="center"/>
    </xf>
    <xf numFmtId="43" fontId="1" fillId="7" borderId="2" xfId="1" applyFont="1" applyFill="1" applyBorder="1" applyAlignment="1" applyProtection="1">
      <alignment horizontal="left" vertical="center" indent="1"/>
      <protection locked="0"/>
    </xf>
    <xf numFmtId="14" fontId="12" fillId="4" borderId="7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2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8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1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0" fillId="4" borderId="0" xfId="0" applyFill="1" applyAlignment="1">
      <alignment vertical="top"/>
    </xf>
    <xf numFmtId="0" fontId="18" fillId="4" borderId="2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right" vertical="top"/>
    </xf>
    <xf numFmtId="0" fontId="26" fillId="4" borderId="0" xfId="0" applyFont="1" applyFill="1" applyAlignment="1">
      <alignment horizontal="right" vertical="center" wrapText="1"/>
    </xf>
    <xf numFmtId="0" fontId="10" fillId="4" borderId="9" xfId="0" applyFont="1" applyFill="1" applyBorder="1" applyAlignment="1">
      <alignment horizontal="left" vertical="center"/>
    </xf>
    <xf numFmtId="0" fontId="10" fillId="4" borderId="9" xfId="0" quotePrefix="1" applyFont="1" applyFill="1" applyBorder="1" applyAlignment="1">
      <alignment horizontal="left" vertical="center"/>
    </xf>
    <xf numFmtId="43" fontId="1" fillId="7" borderId="0" xfId="1" applyFont="1" applyFill="1" applyBorder="1" applyAlignment="1" applyProtection="1">
      <alignment horizontal="left" vertical="center" indent="1"/>
    </xf>
    <xf numFmtId="43" fontId="1" fillId="7" borderId="5" xfId="1" applyFont="1" applyFill="1" applyBorder="1" applyAlignment="1" applyProtection="1">
      <alignment horizontal="left" vertical="center" indent="1"/>
    </xf>
    <xf numFmtId="167" fontId="23" fillId="4" borderId="0" xfId="0" applyNumberFormat="1" applyFont="1" applyFill="1" applyAlignment="1">
      <alignment horizontal="left" indent="1"/>
    </xf>
    <xf numFmtId="0" fontId="23" fillId="6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21" fillId="6" borderId="0" xfId="0" applyFont="1" applyFill="1" applyAlignment="1">
      <alignment horizontal="right" vertical="center"/>
    </xf>
    <xf numFmtId="167" fontId="23" fillId="6" borderId="0" xfId="0" applyNumberFormat="1" applyFont="1" applyFill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0" fillId="4" borderId="9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3" fillId="7" borderId="24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/>
    </xf>
    <xf numFmtId="0" fontId="3" fillId="7" borderId="1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5" fillId="7" borderId="21" xfId="0" applyFont="1" applyFill="1" applyBorder="1" applyAlignment="1" applyProtection="1">
      <alignment horizontal="left" vertical="center" shrinkToFit="1"/>
      <protection locked="0"/>
    </xf>
    <xf numFmtId="0" fontId="5" fillId="7" borderId="28" xfId="0" applyFont="1" applyFill="1" applyBorder="1" applyAlignment="1" applyProtection="1">
      <alignment horizontal="left" vertical="center" shrinkToFit="1"/>
      <protection locked="0"/>
    </xf>
    <xf numFmtId="14" fontId="5" fillId="7" borderId="3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25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1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12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5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27" xfId="0" applyNumberFormat="1" applyFont="1" applyFill="1" applyBorder="1" applyAlignment="1" applyProtection="1">
      <alignment horizontal="left" vertical="center" shrinkToFit="1"/>
      <protection locked="0"/>
    </xf>
    <xf numFmtId="0" fontId="3" fillId="7" borderId="20" xfId="0" applyFont="1" applyFill="1" applyBorder="1" applyAlignment="1">
      <alignment horizontal="left" vertical="top"/>
    </xf>
    <xf numFmtId="0" fontId="3" fillId="7" borderId="22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7" borderId="26" xfId="0" applyFont="1" applyFill="1" applyBorder="1" applyAlignment="1">
      <alignment horizontal="left" vertical="top"/>
    </xf>
    <xf numFmtId="0" fontId="3" fillId="7" borderId="5" xfId="0" applyFont="1" applyFill="1" applyBorder="1" applyAlignment="1">
      <alignment horizontal="left" vertical="top"/>
    </xf>
    <xf numFmtId="0" fontId="3" fillId="7" borderId="29" xfId="0" applyFont="1" applyFill="1" applyBorder="1" applyAlignment="1">
      <alignment horizontal="left" vertical="top"/>
    </xf>
    <xf numFmtId="0" fontId="5" fillId="7" borderId="23" xfId="0" applyFont="1" applyFill="1" applyBorder="1" applyAlignment="1" applyProtection="1">
      <alignment horizontal="left" vertical="center" shrinkToFit="1"/>
      <protection locked="0"/>
    </xf>
    <xf numFmtId="0" fontId="30" fillId="4" borderId="0" xfId="8" applyFill="1" applyBorder="1" applyAlignment="1" applyProtection="1">
      <alignment horizontal="left"/>
    </xf>
    <xf numFmtId="0" fontId="30" fillId="0" borderId="0" xfId="8" applyAlignment="1">
      <alignment horizontal="left"/>
    </xf>
    <xf numFmtId="0" fontId="34" fillId="4" borderId="0" xfId="8" applyFont="1" applyFill="1" applyBorder="1" applyAlignment="1" applyProtection="1">
      <alignment horizontal="center"/>
    </xf>
    <xf numFmtId="0" fontId="8" fillId="3" borderId="37" xfId="3" applyNumberFormat="1" applyFont="1" applyBorder="1" applyAlignment="1" applyProtection="1">
      <alignment horizontal="center" vertical="center"/>
    </xf>
    <xf numFmtId="0" fontId="8" fillId="3" borderId="38" xfId="3" applyNumberFormat="1" applyFont="1" applyBorder="1" applyAlignment="1" applyProtection="1">
      <alignment horizontal="center" vertical="center"/>
    </xf>
    <xf numFmtId="14" fontId="32" fillId="0" borderId="0" xfId="9" applyNumberFormat="1" applyFill="1" applyBorder="1" applyAlignment="1" applyProtection="1">
      <alignment horizontal="center" vertical="center"/>
      <protection locked="0"/>
    </xf>
    <xf numFmtId="0" fontId="28" fillId="0" borderId="13" xfId="4" applyFont="1" applyBorder="1" applyAlignment="1">
      <alignment horizontal="center"/>
    </xf>
    <xf numFmtId="0" fontId="29" fillId="0" borderId="14" xfId="4" applyFont="1" applyBorder="1"/>
    <xf numFmtId="0" fontId="29" fillId="0" borderId="15" xfId="4" applyFont="1" applyBorder="1"/>
    <xf numFmtId="4" fontId="12" fillId="0" borderId="0" xfId="0" applyNumberFormat="1" applyFont="1" applyAlignment="1">
      <alignment horizontal="left" vertical="top" indent="1"/>
    </xf>
    <xf numFmtId="0" fontId="30" fillId="0" borderId="0" xfId="8" applyAlignment="1" applyProtection="1">
      <alignment horizontal="center" wrapText="1"/>
    </xf>
  </cellXfs>
  <cellStyles count="10">
    <cellStyle name="20% - Accent2" xfId="3" builtinId="34"/>
    <cellStyle name="Comma" xfId="1" builtinId="3"/>
    <cellStyle name="Comma 2" xfId="7" xr:uid="{00000000-0005-0000-0000-000002000000}"/>
    <cellStyle name="Currency 2" xfId="6" xr:uid="{00000000-0005-0000-0000-000003000000}"/>
    <cellStyle name="Explanatory Text" xfId="8" builtinId="53"/>
    <cellStyle name="Good" xfId="2" builtinId="26"/>
    <cellStyle name="Input" xfId="9" builtinId="20"/>
    <cellStyle name="Normal" xfId="0" builtinId="0"/>
    <cellStyle name="Normal 2" xfId="4" xr:uid="{00000000-0005-0000-0000-000008000000}"/>
    <cellStyle name="Normal 3" xfId="5" xr:uid="{00000000-0005-0000-0000-000009000000}"/>
  </cellStyles>
  <dxfs count="33"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rgb="FFC00000"/>
      </font>
    </dxf>
    <dxf>
      <fill>
        <patternFill>
          <bgColor theme="4" tint="0.79998168889431442"/>
        </patternFill>
      </fill>
      <border>
        <left/>
        <right/>
        <top/>
        <bottom style="thin">
          <color auto="1"/>
        </bottom>
        <vertical/>
        <horizontal/>
      </border>
    </dxf>
    <dxf>
      <font>
        <b val="0"/>
        <i val="0"/>
      </font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19" formatCode="m/d/yyyy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27" formatCode="m/d/yyyy\ h:mm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CC"/>
      <color rgb="FFDDECF3"/>
      <color rgb="FFDDE8EF"/>
      <color rgb="FF5F5F5F"/>
      <color rgb="FFE2F1FE"/>
      <color rgb="FFCCECFF"/>
      <color rgb="FFFFFA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0</xdr:row>
          <xdr:rowOff>19050</xdr:rowOff>
        </xdr:from>
        <xdr:to>
          <xdr:col>3</xdr:col>
          <xdr:colOff>0</xdr:colOff>
          <xdr:row>4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5" totalsRowShown="0" headerRowDxfId="32">
  <autoFilter ref="A1:S5" xr:uid="{00000000-0009-0000-0100-000001000000}"/>
  <sortState xmlns:xlrd2="http://schemas.microsoft.com/office/spreadsheetml/2017/richdata2" ref="A2:S711">
    <sortCondition ref="L316"/>
  </sortState>
  <tableColumns count="19">
    <tableColumn id="1" xr3:uid="{00000000-0010-0000-0000-000001000000}" name="Column1" dataDxfId="31"/>
    <tableColumn id="2" xr3:uid="{00000000-0010-0000-0000-000002000000}" name="Column2" dataDxfId="30"/>
    <tableColumn id="3" xr3:uid="{00000000-0010-0000-0000-000003000000}" name="Column3" dataDxfId="29"/>
    <tableColumn id="4" xr3:uid="{00000000-0010-0000-0000-000004000000}" name="Column4" dataDxfId="28"/>
    <tableColumn id="5" xr3:uid="{00000000-0010-0000-0000-000005000000}" name="Column5" dataDxfId="27"/>
    <tableColumn id="6" xr3:uid="{00000000-0010-0000-0000-000006000000}" name="Column6" dataDxfId="26"/>
    <tableColumn id="7" xr3:uid="{00000000-0010-0000-0000-000007000000}" name="Column7" dataDxfId="25"/>
    <tableColumn id="8" xr3:uid="{00000000-0010-0000-0000-000008000000}" name="Column8" dataDxfId="24"/>
    <tableColumn id="9" xr3:uid="{00000000-0010-0000-0000-000009000000}" name="Column9" dataDxfId="23"/>
    <tableColumn id="10" xr3:uid="{00000000-0010-0000-0000-00000A000000}" name="Permit ID" dataDxfId="22"/>
    <tableColumn id="11" xr3:uid="{00000000-0010-0000-0000-00000B000000}" name="Column10" dataDxfId="21"/>
    <tableColumn id="12" xr3:uid="{00000000-0010-0000-0000-00000C000000}" name="Permit Type" dataDxfId="20"/>
    <tableColumn id="13" xr3:uid="{00000000-0010-0000-0000-00000D000000}" name="Column11" dataDxfId="19"/>
    <tableColumn id="14" xr3:uid="{00000000-0010-0000-0000-00000E000000}" name="Column12" dataDxfId="18"/>
    <tableColumn id="15" xr3:uid="{00000000-0010-0000-0000-00000F000000}" name="Column13" dataDxfId="17" dataCellStyle="Normal 3"/>
    <tableColumn id="16" xr3:uid="{00000000-0010-0000-0000-000010000000}" name="Column14" dataDxfId="16" dataCellStyle="Normal 3"/>
    <tableColumn id="17" xr3:uid="{00000000-0010-0000-0000-000011000000}" name="Column15" dataDxfId="15" dataCellStyle="Normal 3"/>
    <tableColumn id="18" xr3:uid="{00000000-0010-0000-0000-000012000000}" name="Column16" dataDxfId="14" dataCellStyle="Normal 3"/>
    <tableColumn id="19" xr3:uid="{00000000-0010-0000-0000-000013000000}" name="Column17" dataDxfId="13" dataCellStyle="Normal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B1:Y67"/>
  <sheetViews>
    <sheetView showGridLines="0" tabSelected="1" showRuler="0" showWhiteSpace="0" zoomScaleNormal="100" workbookViewId="0">
      <selection activeCell="N2" sqref="N2"/>
    </sheetView>
  </sheetViews>
  <sheetFormatPr defaultColWidth="9.140625" defaultRowHeight="15" x14ac:dyDescent="0.25"/>
  <cols>
    <col min="1" max="1" width="3" customWidth="1"/>
    <col min="2" max="2" width="3.7109375" customWidth="1"/>
    <col min="3" max="3" width="15.28515625" customWidth="1"/>
    <col min="4" max="5" width="22.28515625" customWidth="1"/>
    <col min="6" max="6" width="3.42578125" customWidth="1"/>
    <col min="7" max="7" width="2.7109375" customWidth="1"/>
    <col min="8" max="8" width="7.85546875" customWidth="1"/>
    <col min="9" max="9" width="20.42578125" customWidth="1"/>
    <col min="10" max="10" width="3.5703125" customWidth="1"/>
    <col min="11" max="11" width="6.85546875" customWidth="1"/>
    <col min="12" max="12" width="16.85546875" customWidth="1"/>
    <col min="13" max="13" width="3.140625" customWidth="1"/>
    <col min="14" max="14" width="21.28515625" customWidth="1"/>
    <col min="15" max="15" width="3.140625" customWidth="1"/>
    <col min="16" max="16" width="23.28515625" customWidth="1"/>
    <col min="18" max="18" width="10.42578125" bestFit="1" customWidth="1"/>
    <col min="19" max="19" width="9.42578125" bestFit="1" customWidth="1"/>
    <col min="22" max="22" width="9.140625" customWidth="1"/>
  </cols>
  <sheetData>
    <row r="1" spans="2:20" ht="26.25" customHeight="1" x14ac:dyDescent="0.3">
      <c r="B1" s="12"/>
      <c r="C1" s="12"/>
      <c r="D1" s="3" t="s">
        <v>6</v>
      </c>
      <c r="E1" s="13"/>
      <c r="F1" s="138" t="s">
        <v>83</v>
      </c>
      <c r="G1" s="138"/>
      <c r="H1" s="138"/>
      <c r="I1" s="138"/>
      <c r="J1" s="12"/>
      <c r="K1" s="107" t="s">
        <v>58</v>
      </c>
      <c r="L1" s="107"/>
      <c r="M1" s="12"/>
      <c r="N1" s="79" t="s">
        <v>76</v>
      </c>
      <c r="O1" s="12"/>
      <c r="P1" s="79" t="s">
        <v>77</v>
      </c>
      <c r="Q1" s="12"/>
      <c r="R1" s="12"/>
      <c r="S1" s="12"/>
      <c r="T1" s="12"/>
    </row>
    <row r="2" spans="2:20" ht="26.25" customHeight="1" x14ac:dyDescent="0.25">
      <c r="B2" s="12"/>
      <c r="C2" s="12"/>
      <c r="D2" s="133" t="s">
        <v>18</v>
      </c>
      <c r="E2" s="134"/>
      <c r="F2" s="138"/>
      <c r="G2" s="138"/>
      <c r="H2" s="138"/>
      <c r="I2" s="138"/>
      <c r="J2" s="12"/>
      <c r="K2" s="105" t="s">
        <v>23</v>
      </c>
      <c r="L2" s="106"/>
      <c r="M2" s="12"/>
      <c r="N2" s="92"/>
      <c r="O2" s="76"/>
      <c r="P2" s="92" t="s">
        <v>78</v>
      </c>
      <c r="Q2" s="12"/>
      <c r="R2" s="12"/>
      <c r="S2" s="12"/>
      <c r="T2" s="12"/>
    </row>
    <row r="3" spans="2:20" ht="18" customHeight="1" x14ac:dyDescent="0.25">
      <c r="B3" s="12"/>
      <c r="C3" s="12"/>
      <c r="D3" s="133"/>
      <c r="E3" s="134"/>
      <c r="F3" s="138"/>
      <c r="G3" s="138"/>
      <c r="H3" s="138"/>
      <c r="I3" s="138"/>
      <c r="J3" s="12"/>
      <c r="K3" s="12"/>
      <c r="M3" s="12"/>
      <c r="N3" s="76"/>
      <c r="O3" s="76"/>
      <c r="P3" s="12"/>
      <c r="Q3" s="12"/>
      <c r="R3" s="12"/>
      <c r="S3" s="12"/>
      <c r="T3" s="12"/>
    </row>
    <row r="4" spans="2:20" ht="15" customHeight="1" x14ac:dyDescent="0.25">
      <c r="B4" s="12"/>
      <c r="C4" s="12"/>
      <c r="D4" s="133"/>
      <c r="E4" s="134"/>
      <c r="F4" s="12"/>
      <c r="G4" s="12"/>
      <c r="H4" s="137" t="str">
        <f>IFERROR(IF(ISBLANK(Permit),"",(IF(VLOOKUP(Permit,'FB Permit Register Report'!J:L,3,FALSE)="BB","Food &amp; Beverage",IF(VLOOKUP(Permit,'FB Permit Register Report'!J:L,3,FALSE)="CG","ERROR: CG Permit","Lodging")))),"ERROR")</f>
        <v>Food &amp; Beverage</v>
      </c>
      <c r="I4" s="137"/>
      <c r="J4" s="12"/>
      <c r="K4" s="173" t="s">
        <v>82</v>
      </c>
      <c r="L4" s="173"/>
      <c r="M4" s="173"/>
      <c r="N4" s="173"/>
      <c r="O4" s="173"/>
      <c r="P4" s="173"/>
      <c r="Q4" s="12"/>
      <c r="R4" s="12"/>
      <c r="S4" s="12"/>
      <c r="T4" s="12"/>
    </row>
    <row r="5" spans="2:20" ht="7.35" customHeight="1" x14ac:dyDescent="0.25">
      <c r="B5" s="12"/>
      <c r="C5" s="12"/>
      <c r="D5" s="133"/>
      <c r="E5" s="134"/>
      <c r="F5" s="15"/>
      <c r="G5" s="12"/>
      <c r="H5" s="137"/>
      <c r="I5" s="137"/>
      <c r="J5" s="12"/>
      <c r="K5" s="173"/>
      <c r="L5" s="173"/>
      <c r="M5" s="173"/>
      <c r="N5" s="173"/>
      <c r="O5" s="173"/>
      <c r="P5" s="173"/>
      <c r="Q5" s="12"/>
      <c r="R5" s="12"/>
      <c r="S5" s="12"/>
      <c r="T5" s="12"/>
    </row>
    <row r="6" spans="2:20" ht="39.75" customHeight="1" x14ac:dyDescent="0.25">
      <c r="B6" s="72"/>
      <c r="C6" s="73" t="s">
        <v>19</v>
      </c>
      <c r="D6" s="12"/>
      <c r="E6" s="12"/>
      <c r="F6" s="15"/>
      <c r="G6" s="15"/>
      <c r="H6" s="137"/>
      <c r="I6" s="137"/>
      <c r="J6" s="12"/>
      <c r="K6" s="12"/>
      <c r="M6" s="171" t="str">
        <f>IF(ActiveMonths="Quarterly","Quarter 1 = January - March","")</f>
        <v/>
      </c>
      <c r="N6" s="171"/>
      <c r="O6" s="171"/>
      <c r="P6" s="171"/>
      <c r="Q6" s="12"/>
      <c r="R6" s="12"/>
      <c r="S6" s="12"/>
      <c r="T6" s="12"/>
    </row>
    <row r="7" spans="2:20" ht="15.75" customHeight="1" x14ac:dyDescent="0.25">
      <c r="B7" s="12"/>
      <c r="C7" s="71"/>
      <c r="D7" s="12"/>
      <c r="E7" s="12"/>
      <c r="F7" s="15"/>
      <c r="G7" s="15"/>
      <c r="H7" s="15"/>
      <c r="I7" s="70"/>
      <c r="J7" s="12"/>
      <c r="M7" s="172" t="str">
        <f>IF(ActiveMonths="Quarterly","Quarter 2 = April - June","")</f>
        <v/>
      </c>
      <c r="N7" s="172"/>
      <c r="O7" s="172"/>
      <c r="P7" s="172"/>
      <c r="Q7" s="12"/>
      <c r="R7" s="12"/>
      <c r="S7" s="12"/>
      <c r="T7" s="12"/>
    </row>
    <row r="8" spans="2:20" x14ac:dyDescent="0.25">
      <c r="B8" s="12"/>
      <c r="C8" s="132" t="s">
        <v>57</v>
      </c>
      <c r="D8" s="132"/>
      <c r="E8" s="132"/>
      <c r="F8" s="12"/>
      <c r="G8" s="112" t="s">
        <v>42</v>
      </c>
      <c r="H8" s="113"/>
      <c r="I8" s="113"/>
      <c r="J8" s="12"/>
      <c r="M8" s="172" t="str">
        <f>IF(ActiveMonths="Quarterly","Quarter 3 = July - September","")</f>
        <v/>
      </c>
      <c r="N8" s="172"/>
      <c r="O8" s="172"/>
      <c r="P8" s="172"/>
      <c r="Q8" s="12"/>
      <c r="R8" s="12"/>
      <c r="S8" s="12"/>
      <c r="T8" s="12"/>
    </row>
    <row r="9" spans="2:20" x14ac:dyDescent="0.25">
      <c r="B9" s="12"/>
      <c r="C9" s="132"/>
      <c r="D9" s="132"/>
      <c r="E9" s="132"/>
      <c r="F9" s="12"/>
      <c r="G9" s="113"/>
      <c r="H9" s="113"/>
      <c r="I9" s="113"/>
      <c r="J9" s="12"/>
      <c r="M9" s="172" t="str">
        <f>IF(ActiveMonths="Quarterly","Quarter 4 = October - December","")</f>
        <v/>
      </c>
      <c r="N9" s="172"/>
      <c r="O9" s="172"/>
      <c r="P9" s="172"/>
      <c r="Q9" s="12"/>
      <c r="R9" s="12"/>
      <c r="S9" s="12"/>
      <c r="T9" s="12"/>
    </row>
    <row r="10" spans="2:20" ht="15.75" thickBot="1" x14ac:dyDescent="0.3">
      <c r="B10" s="12"/>
      <c r="C10" s="132"/>
      <c r="D10" s="132"/>
      <c r="E10" s="132"/>
      <c r="F10" s="1"/>
      <c r="G10" s="114"/>
      <c r="H10" s="114"/>
      <c r="I10" s="114"/>
      <c r="J10" s="12"/>
      <c r="M10" s="91"/>
      <c r="N10" s="91"/>
      <c r="O10" s="91"/>
      <c r="P10" s="90"/>
      <c r="Q10" s="12"/>
      <c r="R10" s="12"/>
      <c r="S10" s="12"/>
      <c r="T10" s="12"/>
    </row>
    <row r="11" spans="2:20" ht="12" customHeight="1" x14ac:dyDescent="0.25">
      <c r="B11" s="12"/>
      <c r="D11" s="12"/>
      <c r="E11" s="12"/>
      <c r="F11" s="1"/>
      <c r="G11" s="126"/>
      <c r="H11" s="127"/>
      <c r="I11" s="12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2:20" ht="12" customHeight="1" thickBot="1" x14ac:dyDescent="0.3">
      <c r="B12" s="12"/>
      <c r="C12" s="12"/>
      <c r="D12" s="12"/>
      <c r="F12" s="2"/>
      <c r="G12" s="129"/>
      <c r="H12" s="130"/>
      <c r="I12" s="1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s="17" customFormat="1" ht="21" customHeight="1" x14ac:dyDescent="0.25">
      <c r="B13" s="115" t="s">
        <v>7</v>
      </c>
      <c r="C13" s="116"/>
      <c r="D13" s="121"/>
      <c r="E13" s="121"/>
      <c r="F13" s="121"/>
      <c r="G13" s="121"/>
      <c r="H13" s="121"/>
      <c r="I13" s="12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2:20" s="17" customFormat="1" ht="21" customHeight="1" x14ac:dyDescent="0.25">
      <c r="B14" s="117" t="s">
        <v>8</v>
      </c>
      <c r="C14" s="118"/>
      <c r="D14" s="82"/>
      <c r="E14" s="77"/>
      <c r="F14" s="77"/>
      <c r="G14" s="77"/>
      <c r="H14" s="77"/>
      <c r="I14" s="78"/>
    </row>
    <row r="15" spans="2:20" s="17" customFormat="1" ht="21" customHeight="1" x14ac:dyDescent="0.25">
      <c r="B15" s="117" t="s">
        <v>9</v>
      </c>
      <c r="C15" s="118"/>
      <c r="D15" s="83" t="str">
        <f>IF(ISBLANK(ReturnPeriod),"",IF(ActiveMonths="Quarterly",TEXT(EOMONTH(ReturnPeriod,-1)+1,"MM/DD/YYYY")&amp;"  -  "&amp;TEXT(EOMONTH(ReturnPeriod,2),"MM/DD/YYYY"),IF(ISBLANK(Permit),"",ReturnPeriod)))</f>
        <v/>
      </c>
      <c r="E15" s="80"/>
      <c r="F15" s="80"/>
      <c r="G15" s="80"/>
      <c r="H15" s="80"/>
      <c r="I15" s="81"/>
    </row>
    <row r="16" spans="2:20" s="17" customFormat="1" ht="21" customHeight="1" thickBot="1" x14ac:dyDescent="0.3">
      <c r="B16" s="119" t="s">
        <v>10</v>
      </c>
      <c r="C16" s="120"/>
      <c r="D16" s="84" t="str">
        <f>IF(ISBLANK(ReturnPeriod),"",IF(ActiveMonths="Quarterly",EOMONTH(ReturnPeriod,2)+20,IF(ISBLANK(Permit),"",EOMONTH(ReturnPeriod,0)+20)))</f>
        <v/>
      </c>
      <c r="E16" s="123" t="s">
        <v>20</v>
      </c>
      <c r="F16" s="123"/>
      <c r="G16" s="123"/>
      <c r="H16" s="123"/>
      <c r="I16" s="124"/>
    </row>
    <row r="17" spans="2:12" s="18" customFormat="1" ht="12" customHeight="1" x14ac:dyDescent="0.25">
      <c r="B17" s="108" t="s">
        <v>28</v>
      </c>
      <c r="C17" s="110" t="s">
        <v>29</v>
      </c>
      <c r="D17" s="125"/>
      <c r="E17" s="135" t="s">
        <v>3</v>
      </c>
      <c r="F17" s="135"/>
      <c r="G17" s="135"/>
      <c r="H17" s="135"/>
      <c r="I17" s="136"/>
    </row>
    <row r="18" spans="2:12" s="18" customFormat="1" ht="12" customHeight="1" x14ac:dyDescent="0.25">
      <c r="B18" s="109"/>
      <c r="C18" s="111"/>
      <c r="D18" s="94"/>
      <c r="E18" s="95"/>
      <c r="F18" s="95"/>
      <c r="G18" s="95"/>
      <c r="H18" s="95"/>
      <c r="I18" s="96"/>
    </row>
    <row r="19" spans="2:12" s="18" customFormat="1" ht="3.6" customHeight="1" x14ac:dyDescent="0.25">
      <c r="B19" s="68"/>
      <c r="C19" s="28"/>
      <c r="D19" s="40"/>
      <c r="E19" s="62"/>
      <c r="F19" s="62"/>
      <c r="G19" s="62"/>
      <c r="H19" s="62"/>
      <c r="I19" s="63"/>
    </row>
    <row r="20" spans="2:12" s="18" customFormat="1" ht="12" customHeight="1" x14ac:dyDescent="0.25">
      <c r="B20" s="109" t="s">
        <v>31</v>
      </c>
      <c r="C20" s="111" t="s">
        <v>30</v>
      </c>
      <c r="D20" s="93"/>
      <c r="E20" s="95" t="s">
        <v>4</v>
      </c>
      <c r="F20" s="95"/>
      <c r="G20" s="95"/>
      <c r="H20" s="95"/>
      <c r="I20" s="96"/>
    </row>
    <row r="21" spans="2:12" s="18" customFormat="1" ht="12" customHeight="1" x14ac:dyDescent="0.25">
      <c r="B21" s="109"/>
      <c r="C21" s="111"/>
      <c r="D21" s="94"/>
      <c r="E21" s="95"/>
      <c r="F21" s="95"/>
      <c r="G21" s="95"/>
      <c r="H21" s="95"/>
      <c r="I21" s="96"/>
    </row>
    <row r="22" spans="2:12" s="19" customFormat="1" ht="3.6" customHeight="1" x14ac:dyDescent="0.25">
      <c r="B22" s="30"/>
      <c r="C22" s="28"/>
      <c r="D22" s="40"/>
      <c r="E22" s="62"/>
      <c r="F22" s="62"/>
      <c r="G22" s="62"/>
      <c r="H22" s="62"/>
      <c r="I22" s="63"/>
    </row>
    <row r="23" spans="2:12" s="18" customFormat="1" ht="12" customHeight="1" x14ac:dyDescent="0.25">
      <c r="B23" s="109" t="s">
        <v>32</v>
      </c>
      <c r="C23" s="111" t="s">
        <v>33</v>
      </c>
      <c r="D23" s="141" t="str">
        <f>IF(ISBLANK(GrossSales),"",GrossSales-Deductions)</f>
        <v/>
      </c>
      <c r="E23" s="95" t="s">
        <v>5</v>
      </c>
      <c r="F23" s="95"/>
      <c r="G23" s="95"/>
      <c r="H23" s="95"/>
      <c r="I23" s="96"/>
    </row>
    <row r="24" spans="2:12" s="18" customFormat="1" ht="12" customHeight="1" x14ac:dyDescent="0.25">
      <c r="B24" s="109"/>
      <c r="C24" s="111"/>
      <c r="D24" s="142"/>
      <c r="E24" s="95"/>
      <c r="F24" s="95"/>
      <c r="G24" s="95"/>
      <c r="H24" s="95"/>
      <c r="I24" s="96"/>
    </row>
    <row r="25" spans="2:12" s="18" customFormat="1" ht="2.85" customHeight="1" x14ac:dyDescent="0.25">
      <c r="B25" s="64"/>
      <c r="C25" s="65"/>
      <c r="D25" s="40"/>
      <c r="E25" s="62"/>
      <c r="F25" s="62"/>
      <c r="G25" s="62"/>
      <c r="H25" s="62"/>
      <c r="I25" s="63"/>
    </row>
    <row r="26" spans="2:12" s="18" customFormat="1" ht="12" customHeight="1" x14ac:dyDescent="0.25">
      <c r="B26" s="140" t="str">
        <f>IFERROR(IF(ISBLANK(M63),"",(IF(VLOOKUP(Permit,'FB Permit Register Report'!J:L,3,FALSE)="AA","4a.","4."))),"")</f>
        <v>4.</v>
      </c>
      <c r="C26" s="111" t="str">
        <f>IFERROR(IF(ISBLANK(M63),"",(IF(VLOOKUP(Permit,'FB Permit Register Report'!J:L,3,FALSE)="BB","FOOD/BEVERAGE TAX OF 2.25%","LODGING EXCISE TAX OF 3.00%"))),"")</f>
        <v>FOOD/BEVERAGE TAX OF 2.25%</v>
      </c>
      <c r="D26" s="111"/>
      <c r="E26" s="99" t="str">
        <f>IFERROR(IF(ISBLANK(GrossSales),"",(IF(VLOOKUP(Permit,'FB Permit Register Report'!J:L,3,FALSE)="BB",NetSales*0.0225,NetSales*0.03))),"")</f>
        <v/>
      </c>
      <c r="F26" s="97" t="str">
        <f>IFERROR(IF(ISBLANK(M63),"",(IF(VLOOKUP(Permit,'FB Permit Register Report'!J:L,3,FALSE)="BB","Line 3 x 0.0225","Line 3 x 0.03"))),"")</f>
        <v>Line 3 x 0.0225</v>
      </c>
      <c r="G26" s="97"/>
      <c r="H26" s="97"/>
      <c r="I26" s="98"/>
    </row>
    <row r="27" spans="2:12" s="18" customFormat="1" ht="12" customHeight="1" x14ac:dyDescent="0.25">
      <c r="B27" s="139"/>
      <c r="C27" s="111"/>
      <c r="D27" s="111"/>
      <c r="E27" s="100"/>
      <c r="F27" s="97"/>
      <c r="G27" s="97"/>
      <c r="H27" s="97"/>
      <c r="I27" s="98"/>
      <c r="L27" s="42" t="str">
        <f ca="1">IF(ISBLANK(ReturnPeriod),"",IF(DueDate+8&lt;TODAY(),"To calculate penalty &amp; interest, enter date paid:",""))</f>
        <v/>
      </c>
    </row>
    <row r="28" spans="2:12" s="18" customFormat="1" ht="3.6" customHeight="1" x14ac:dyDescent="0.25">
      <c r="B28" s="68"/>
      <c r="C28" s="65"/>
      <c r="D28" s="65"/>
      <c r="E28" s="40"/>
      <c r="F28" s="66"/>
      <c r="G28" s="66"/>
      <c r="H28" s="66"/>
      <c r="I28" s="67"/>
    </row>
    <row r="29" spans="2:12" s="18" customFormat="1" ht="12" customHeight="1" x14ac:dyDescent="0.25">
      <c r="B29" s="139" t="str">
        <f>IFERROR(IF(ISBLANK(M63),"",(IF(VLOOKUP(Permit,'FB Permit Register Report'!J:L,3,FALSE)="AA","4b.",""))),"")</f>
        <v/>
      </c>
      <c r="C29" s="111" t="str">
        <f>IFERROR(IF(ISBLANK(M63),"",(IF(VLOOKUP(Permit,'FB Permit Register Report'!J:L,3,FALSE)="AA","ADDITIONAL LODGING TAX OF 2.50%",""))),"")</f>
        <v/>
      </c>
      <c r="D29" s="111"/>
      <c r="E29" s="103" t="str">
        <f>IFERROR(IF(ISBLANK(GrossSales),"",(IF(VLOOKUP(Permit,'FB Permit Register Report'!J:L,3,FALSE)="AA",NetSales*0.025,""))),"")</f>
        <v/>
      </c>
      <c r="F29" s="97" t="str">
        <f>IFERROR(IF(ISBLANK(M63),"",(IF(VLOOKUP(Permit,'FB Permit Register Report'!J:L,3,FALSE)="AA","Line 3 x 0.025",""))),"")</f>
        <v/>
      </c>
      <c r="G29" s="97"/>
      <c r="H29" s="97"/>
      <c r="I29" s="98"/>
      <c r="L29" s="176"/>
    </row>
    <row r="30" spans="2:12" s="18" customFormat="1" ht="12" customHeight="1" x14ac:dyDescent="0.25">
      <c r="B30" s="139"/>
      <c r="C30" s="111"/>
      <c r="D30" s="111"/>
      <c r="E30" s="103"/>
      <c r="F30" s="97"/>
      <c r="G30" s="97"/>
      <c r="H30" s="97"/>
      <c r="I30" s="98"/>
      <c r="L30" s="176"/>
    </row>
    <row r="31" spans="2:12" s="18" customFormat="1" ht="3.6" customHeight="1" x14ac:dyDescent="0.25">
      <c r="B31" s="30"/>
      <c r="C31" s="19"/>
      <c r="D31" s="19"/>
      <c r="E31" s="85"/>
      <c r="F31" s="19"/>
      <c r="G31" s="19"/>
      <c r="H31" s="19"/>
      <c r="I31" s="20"/>
    </row>
    <row r="32" spans="2:12" s="18" customFormat="1" ht="12" customHeight="1" x14ac:dyDescent="0.25">
      <c r="B32" s="139" t="str">
        <f>IFERROR(IF(ISBLANK(M63),"",(IF(VLOOKUP(Permit,'FB Permit Register Report'!J:L,3,FALSE)="AA","4c.",""))),"")</f>
        <v/>
      </c>
      <c r="C32" s="111" t="str">
        <f>IFERROR(IF(ISBLANK(M63),"",(IF(VLOOKUP(Permit,'FB Permit Register Report'!J:L,3,FALSE)="AA","TOTAL TAXES DUE:",""))),"")</f>
        <v/>
      </c>
      <c r="D32" s="111"/>
      <c r="E32" s="104" t="str">
        <f>IFERROR(IF(ISBLANK(GrossSales),"",(IF(VLOOKUP(Permit,'FB Permit Register Report'!J:L,3,FALSE)="AA",TaxDue+LODGING30PLUS,""))),"")</f>
        <v/>
      </c>
      <c r="F32" s="97" t="str">
        <f>IFERROR(IF(ISBLANK(M63),"",(IF(VLOOKUP(Permit,'FB Permit Register Report'!J:L,3,FALSE)="AA","Total of line 4a &amp; 4b",""))),"")</f>
        <v/>
      </c>
      <c r="G32" s="97"/>
      <c r="H32" s="97"/>
      <c r="I32" s="98"/>
    </row>
    <row r="33" spans="2:13" s="18" customFormat="1" ht="12" customHeight="1" x14ac:dyDescent="0.25">
      <c r="B33" s="139"/>
      <c r="C33" s="111"/>
      <c r="D33" s="111"/>
      <c r="E33" s="104"/>
      <c r="F33" s="97"/>
      <c r="G33" s="97"/>
      <c r="H33" s="97"/>
      <c r="I33" s="98"/>
    </row>
    <row r="34" spans="2:13" s="18" customFormat="1" ht="3.6" customHeight="1" x14ac:dyDescent="0.25">
      <c r="B34" s="30"/>
      <c r="C34" s="19"/>
      <c r="D34" s="19"/>
      <c r="E34" s="86"/>
      <c r="F34" s="19"/>
      <c r="G34" s="19"/>
      <c r="H34" s="19"/>
      <c r="I34" s="20"/>
    </row>
    <row r="35" spans="2:13" s="26" customFormat="1" ht="17.25" customHeight="1" x14ac:dyDescent="0.25">
      <c r="B35" s="69" t="s">
        <v>34</v>
      </c>
      <c r="C35" s="29" t="s">
        <v>35</v>
      </c>
      <c r="D35" s="22" t="s">
        <v>0</v>
      </c>
      <c r="E35" s="87" t="str">
        <f ca="1">IF(ISBLANK(GrossSales),"",IF(ISBLANK(DatePaid),"",IF(TODAY()+8&lt;DueDate,"",IF(DaysLate&lt;31,Penalty1,IF(AND(DaysLate&gt;=31,DaysLate&lt;=60),Penalty2,IF(AND(DaysLate&gt;=61,DaysLate&lt;=90),Penalty3,IF(DaysLate&gt;90,Penalty4,"ERROR")))))))</f>
        <v/>
      </c>
      <c r="F35" s="23"/>
      <c r="G35" s="24"/>
      <c r="H35" s="23"/>
      <c r="I35" s="25"/>
    </row>
    <row r="36" spans="2:13" s="26" customFormat="1" ht="17.25" customHeight="1" x14ac:dyDescent="0.25">
      <c r="B36" s="31"/>
      <c r="C36" s="21"/>
      <c r="D36" s="22" t="s">
        <v>1</v>
      </c>
      <c r="E36" s="88" t="str">
        <f ca="1">IF(ISBLANK(GrossSales),"",IF(ISBLANK(DatePaid),"",IF(TODAY()+8&lt;DueDate,"",IF(DaysLate&lt;31,Interest1,IF(AND(DaysLate&gt;=31,DaysLate&lt;=60),Interest2,IF(AND(DaysLate&gt;=61,DaysLate&lt;=90),Interest3,IF(DaysLate&gt;90,Interest4,"ERROR")))))))</f>
        <v/>
      </c>
      <c r="F36" s="23"/>
      <c r="G36" s="24"/>
      <c r="H36" s="23"/>
      <c r="I36" s="25"/>
    </row>
    <row r="37" spans="2:13" s="26" customFormat="1" ht="17.25" customHeight="1" x14ac:dyDescent="0.25">
      <c r="B37" s="31"/>
      <c r="C37" s="21"/>
      <c r="D37" s="22" t="s">
        <v>2</v>
      </c>
      <c r="E37" s="89"/>
      <c r="F37" s="23"/>
      <c r="G37" s="24"/>
      <c r="H37" s="23"/>
      <c r="I37" s="25"/>
      <c r="L37" s="61" t="str">
        <f ca="1">IF(ISBLANK(GrossSales),"",IF(ISBLANK(DatePaid),"",IF(TODAY()+8&lt;DueDate,"","Total Due with Penalty &amp; Interest")))</f>
        <v/>
      </c>
    </row>
    <row r="38" spans="2:13" s="18" customFormat="1" ht="12" customHeight="1" x14ac:dyDescent="0.25">
      <c r="B38" s="109" t="s">
        <v>37</v>
      </c>
      <c r="C38" s="111" t="s">
        <v>36</v>
      </c>
      <c r="D38" s="111"/>
      <c r="E38" s="101"/>
      <c r="F38" s="19"/>
      <c r="G38" s="19"/>
      <c r="H38" s="19"/>
      <c r="I38" s="20"/>
      <c r="L38" s="180" t="str">
        <f ca="1">IF(ISBLANK(GrossSales),"",IF(ISBLANK(DatePaid),"",IF(TODAY()+8&lt;DueDate,"",IF(bevORlodging="4.",TaxDue,TotalLodging30Plus)+PenaltyDue+Interest)))</f>
        <v/>
      </c>
      <c r="M38" s="180"/>
    </row>
    <row r="39" spans="2:13" s="18" customFormat="1" ht="12" customHeight="1" x14ac:dyDescent="0.25">
      <c r="B39" s="109"/>
      <c r="C39" s="111"/>
      <c r="D39" s="111"/>
      <c r="E39" s="102"/>
      <c r="F39" s="19"/>
      <c r="G39" s="19"/>
      <c r="H39" s="19"/>
      <c r="I39" s="20"/>
      <c r="L39" s="180"/>
      <c r="M39" s="180"/>
    </row>
    <row r="40" spans="2:13" ht="3.6" customHeight="1" x14ac:dyDescent="0.25">
      <c r="B40" s="149" t="s">
        <v>17</v>
      </c>
      <c r="C40" s="150"/>
      <c r="D40" s="150"/>
      <c r="E40" s="150"/>
      <c r="F40" s="150"/>
      <c r="G40" s="150"/>
      <c r="H40" s="150"/>
      <c r="I40" s="151"/>
      <c r="L40" s="180"/>
      <c r="M40" s="180"/>
    </row>
    <row r="41" spans="2:13" ht="30.95" customHeight="1" x14ac:dyDescent="0.25">
      <c r="B41" s="149"/>
      <c r="C41" s="150"/>
      <c r="D41" s="150"/>
      <c r="E41" s="150"/>
      <c r="F41" s="150"/>
      <c r="G41" s="150"/>
      <c r="H41" s="150"/>
      <c r="I41" s="151"/>
    </row>
    <row r="42" spans="2:13" s="27" customFormat="1" ht="12.2" customHeight="1" x14ac:dyDescent="0.2">
      <c r="B42" s="166" t="s">
        <v>11</v>
      </c>
      <c r="C42" s="153"/>
      <c r="D42" s="156"/>
      <c r="E42" s="164" t="s">
        <v>12</v>
      </c>
      <c r="F42" s="158"/>
      <c r="G42" s="158"/>
      <c r="H42" s="158"/>
      <c r="I42" s="159"/>
    </row>
    <row r="43" spans="2:13" ht="14.25" customHeight="1" x14ac:dyDescent="0.25">
      <c r="B43" s="167"/>
      <c r="C43" s="168"/>
      <c r="D43" s="170"/>
      <c r="E43" s="165"/>
      <c r="F43" s="162"/>
      <c r="G43" s="162"/>
      <c r="H43" s="162"/>
      <c r="I43" s="163"/>
    </row>
    <row r="44" spans="2:13" ht="12.2" customHeight="1" x14ac:dyDescent="0.25">
      <c r="B44" s="166" t="s">
        <v>13</v>
      </c>
      <c r="C44" s="153"/>
      <c r="D44" s="156"/>
      <c r="E44" s="164" t="s">
        <v>15</v>
      </c>
      <c r="F44" s="158"/>
      <c r="G44" s="158"/>
      <c r="H44" s="158"/>
      <c r="I44" s="159"/>
    </row>
    <row r="45" spans="2:13" ht="14.25" customHeight="1" x14ac:dyDescent="0.25">
      <c r="B45" s="167"/>
      <c r="C45" s="168"/>
      <c r="D45" s="170"/>
      <c r="E45" s="165"/>
      <c r="F45" s="162"/>
      <c r="G45" s="162"/>
      <c r="H45" s="162"/>
      <c r="I45" s="163"/>
    </row>
    <row r="46" spans="2:13" ht="12.2" customHeight="1" x14ac:dyDescent="0.25">
      <c r="B46" s="166" t="s">
        <v>14</v>
      </c>
      <c r="C46" s="153"/>
      <c r="D46" s="156"/>
      <c r="E46" s="164" t="s">
        <v>16</v>
      </c>
      <c r="F46" s="158"/>
      <c r="G46" s="158"/>
      <c r="H46" s="158"/>
      <c r="I46" s="159"/>
    </row>
    <row r="47" spans="2:13" ht="14.25" customHeight="1" thickBot="1" x14ac:dyDescent="0.3">
      <c r="B47" s="154"/>
      <c r="C47" s="155"/>
      <c r="D47" s="157"/>
      <c r="E47" s="169"/>
      <c r="F47" s="160"/>
      <c r="G47" s="160"/>
      <c r="H47" s="160"/>
      <c r="I47" s="161"/>
    </row>
    <row r="48" spans="2:13" ht="22.5" customHeight="1" x14ac:dyDescent="0.25">
      <c r="B48" s="152" t="s">
        <v>81</v>
      </c>
      <c r="C48" s="153"/>
      <c r="D48" s="156"/>
      <c r="E48" s="148" t="str">
        <f>IFERROR(IF(ISBLANK(Permit),"",(IF(VLOOKUP(Permit,'FB Permit Register Report'!J:L,3,FALSE)="BB","FOOD &amp; BEVERAGE TAX RATES EFFECTIVE 10/1/2019",IF(VLOOKUP(Permit,'FB Permit Register Report'!J:L,3,FALSE)="AA","LODGING 30+ ROOM TAX RATES EFFECTIVE 10/1/2019","LODGING &lt; 30 ROOM TAX RATES EFFECTIVE 10/1/2019")))),"")</f>
        <v>FOOD &amp; BEVERAGE TAX RATES EFFECTIVE 10/1/2019</v>
      </c>
      <c r="F48" s="148"/>
      <c r="G48" s="148"/>
      <c r="H48" s="148"/>
      <c r="I48" s="148"/>
    </row>
    <row r="49" spans="2:25" ht="9.9499999999999993" customHeight="1" thickBot="1" x14ac:dyDescent="0.3">
      <c r="B49" s="154"/>
      <c r="C49" s="155"/>
      <c r="D49" s="157"/>
      <c r="E49" s="144" t="s">
        <v>38</v>
      </c>
      <c r="F49" s="144"/>
      <c r="G49" s="144"/>
      <c r="H49" s="144"/>
      <c r="I49" s="34">
        <v>6.8750000000000006E-2</v>
      </c>
    </row>
    <row r="50" spans="2:25" ht="9.9499999999999993" customHeight="1" x14ac:dyDescent="0.25">
      <c r="B50" s="33"/>
      <c r="C50" s="74"/>
      <c r="D50" s="74"/>
      <c r="E50" s="144" t="s">
        <v>40</v>
      </c>
      <c r="F50" s="144"/>
      <c r="G50" s="144"/>
      <c r="H50" s="144"/>
      <c r="I50" s="36">
        <v>5.0000000000000001E-3</v>
      </c>
    </row>
    <row r="51" spans="2:25" ht="9.9499999999999993" customHeight="1" x14ac:dyDescent="0.25">
      <c r="B51" s="12"/>
      <c r="C51" s="75"/>
      <c r="D51" s="75"/>
      <c r="E51" s="144" t="s">
        <v>39</v>
      </c>
      <c r="F51" s="144"/>
      <c r="G51" s="144"/>
      <c r="H51" s="144"/>
      <c r="I51" s="36">
        <v>1.4999999999999999E-2</v>
      </c>
    </row>
    <row r="52" spans="2:25" ht="9.9499999999999993" customHeight="1" x14ac:dyDescent="0.25">
      <c r="B52" s="12"/>
      <c r="C52" s="75"/>
      <c r="D52" s="75"/>
      <c r="E52" s="144" t="str">
        <f>IFERROR(IF(ISBLANK(Permit),"",(IF(VLOOKUP(Permit,'FB Permit Register Report'!J:L,3,FALSE)="BB","MN State Liquor Tax*","Duluth Tourism Lodging Tax"))),"")</f>
        <v>MN State Liquor Tax*</v>
      </c>
      <c r="F52" s="144"/>
      <c r="G52" s="144"/>
      <c r="H52" s="144"/>
      <c r="I52" s="35" t="str">
        <f>IFERROR(IF(ISBLANK(M63),"",(IF(VLOOKUP(Permit,'FB Permit Register Report'!J:L,3,FALSE)="BB","2.5%","3.0%"))),"")</f>
        <v>2.5%</v>
      </c>
    </row>
    <row r="53" spans="2:25" ht="9.9499999999999993" customHeight="1" x14ac:dyDescent="0.25">
      <c r="B53" s="12"/>
      <c r="C53" s="75"/>
      <c r="D53" s="75"/>
      <c r="E53" s="144" t="str">
        <f>IFERROR(IF(ISBLANK(Permit),"",(IF(VLOOKUP(Permit,'FB Permit Register Report'!J:L,3,FALSE)="BB","Duluth Tourism Food &amp; Beverage Tax",IF(VLOOKUP(Permit,'FB Permit Register Report'!J:L,3,FALSE)="AA","Duluth Tourism Additional Lodging Tax","")))),"")</f>
        <v>Duluth Tourism Food &amp; Beverage Tax</v>
      </c>
      <c r="F53" s="144"/>
      <c r="G53" s="144"/>
      <c r="H53" s="144"/>
      <c r="I53" s="35" t="str">
        <f>IFERROR(IF(ISBLANK(Permit),"",(IF(VLOOKUP(Permit,'FB Permit Register Report'!J:L,3,FALSE)="BB","2.25%",IF(VLOOKUP(Permit,'FB Permit Register Report'!J:L,3,FALSE)="AA","2.5%","")))),"")</f>
        <v>2.25%</v>
      </c>
    </row>
    <row r="54" spans="2:25" ht="9.9499999999999993" customHeight="1" x14ac:dyDescent="0.25">
      <c r="B54" s="12"/>
      <c r="C54" s="75"/>
      <c r="D54" s="75"/>
      <c r="E54" s="38"/>
      <c r="F54" s="38"/>
      <c r="G54" s="38"/>
      <c r="H54" s="38"/>
      <c r="I54" s="38"/>
    </row>
    <row r="55" spans="2:25" ht="9.9499999999999993" customHeight="1" x14ac:dyDescent="0.25">
      <c r="B55" s="12"/>
      <c r="C55" s="75"/>
      <c r="D55" s="75"/>
      <c r="E55" s="145" t="str">
        <f>IFERROR(IF(ISBLANK(Permit),"",(IF(VLOOKUP(Permit,'FB Permit Register Report'!J:L,3,FALSE)="BB","FOOD &amp; BEVERAGE TOTAL","LODGING TOTAL:"))),"")</f>
        <v>FOOD &amp; BEVERAGE TOTAL</v>
      </c>
      <c r="F55" s="145"/>
      <c r="G55" s="145"/>
      <c r="H55" s="145"/>
      <c r="I55" s="41" t="str">
        <f>IFERROR(IF(ISBLANK(Permit),"",(IF(VLOOKUP(Permit,'FB Permit Register Report'!J:L,3,FALSE)="BB","11.125%",IF(VLOOKUP(Permit,'FB Permit Register Report'!J:L,3,FALSE)="AA","14.375%","11.875%")))),"")</f>
        <v>11.125%</v>
      </c>
    </row>
    <row r="56" spans="2:25" ht="9.9499999999999993" customHeight="1" x14ac:dyDescent="0.25">
      <c r="B56" s="12"/>
      <c r="C56" s="75"/>
      <c r="D56" s="75"/>
      <c r="E56" s="146" t="str">
        <f>IFERROR(IF(ISBLANK(Permit),"",(IF(VLOOKUP(Permit,'FB Permit Register Report'!J:L,3,FALSE)="BB","WITH ALCOHOL:",""))),"")</f>
        <v>WITH ALCOHOL:</v>
      </c>
      <c r="F56" s="146"/>
      <c r="G56" s="146"/>
      <c r="H56" s="146"/>
      <c r="I56" s="41" t="str">
        <f>IFERROR(IF(ISBLANK(Permit),"",(IF(VLOOKUP(Permit,'FB Permit Register Report'!J:L,3,FALSE)="BB","13.625%",""))),"")</f>
        <v>13.625%</v>
      </c>
      <c r="P56" s="181"/>
      <c r="Q56" s="181"/>
      <c r="R56" s="181"/>
      <c r="S56" s="181"/>
      <c r="T56" s="181"/>
    </row>
    <row r="57" spans="2:25" ht="3.6" customHeight="1" x14ac:dyDescent="0.25">
      <c r="B57" s="12"/>
      <c r="C57" s="75"/>
      <c r="D57" s="75"/>
      <c r="E57" s="39"/>
      <c r="F57" s="39"/>
      <c r="G57" s="39"/>
      <c r="H57" s="39"/>
      <c r="I57" s="37"/>
      <c r="P57" s="181"/>
      <c r="Q57" s="181"/>
      <c r="R57" s="181"/>
      <c r="S57" s="181"/>
      <c r="T57" s="181"/>
    </row>
    <row r="58" spans="2:25" ht="9.9499999999999993" customHeight="1" x14ac:dyDescent="0.25">
      <c r="C58" s="75"/>
      <c r="D58" s="75"/>
      <c r="E58" s="147" t="s">
        <v>41</v>
      </c>
      <c r="F58" s="147"/>
      <c r="G58" s="147"/>
      <c r="H58" s="147"/>
      <c r="I58" s="147"/>
      <c r="P58" s="181"/>
      <c r="Q58" s="181"/>
      <c r="R58" s="181"/>
      <c r="S58" s="181"/>
      <c r="T58" s="181"/>
    </row>
    <row r="59" spans="2:25" ht="2.85" customHeight="1" x14ac:dyDescent="0.25">
      <c r="E59" s="32"/>
      <c r="F59" s="143"/>
      <c r="G59" s="143"/>
      <c r="H59" s="143"/>
    </row>
    <row r="60" spans="2:25" ht="21" hidden="1" x14ac:dyDescent="0.35">
      <c r="P60" s="177" t="s">
        <v>43</v>
      </c>
      <c r="Q60" s="178"/>
      <c r="R60" s="178"/>
      <c r="S60" s="178"/>
      <c r="T60" s="178"/>
      <c r="U60" s="178"/>
      <c r="V60" s="178"/>
      <c r="W60" s="178"/>
      <c r="X60" s="178"/>
      <c r="Y60" s="179"/>
    </row>
    <row r="61" spans="2:25" hidden="1" x14ac:dyDescent="0.25">
      <c r="P61" s="43" t="s">
        <v>44</v>
      </c>
      <c r="Q61" s="44" t="s">
        <v>45</v>
      </c>
      <c r="R61" s="44" t="s">
        <v>46</v>
      </c>
      <c r="S61" s="44" t="s">
        <v>47</v>
      </c>
      <c r="T61" s="44" t="s">
        <v>44</v>
      </c>
      <c r="U61" s="44" t="s">
        <v>48</v>
      </c>
      <c r="V61" s="44" t="s">
        <v>56</v>
      </c>
      <c r="W61" s="44" t="s">
        <v>49</v>
      </c>
      <c r="X61" s="44" t="s">
        <v>54</v>
      </c>
      <c r="Y61" s="45" t="s">
        <v>55</v>
      </c>
    </row>
    <row r="62" spans="2:25" ht="15.75" hidden="1" x14ac:dyDescent="0.25">
      <c r="M62" s="14" t="s">
        <v>25</v>
      </c>
      <c r="P62" s="58" t="s">
        <v>50</v>
      </c>
      <c r="Q62" s="46" t="str">
        <f>IF(bevORlodging="4.",TaxDue,TotalLodging30Plus)</f>
        <v/>
      </c>
      <c r="R62" s="47" t="str">
        <f>DueDate</f>
        <v/>
      </c>
      <c r="S62" s="47">
        <f ca="1">IF(ISBLANK(DatePaid),TODAY(),DatePaid)</f>
        <v>45673</v>
      </c>
      <c r="T62" s="48" t="e">
        <f ca="1">S62-R62</f>
        <v>#VALUE!</v>
      </c>
      <c r="U62" s="49" t="e">
        <f>IF(AND(Q62&gt;=0.01,Q62&lt;=100.04),10,IF(Q62&gt;=100.05,Q62*0.1,""))</f>
        <v>#VALUE!</v>
      </c>
      <c r="V62" s="49" t="e">
        <f>IF(Q62&gt;0,Q62+U62,"")</f>
        <v>#VALUE!</v>
      </c>
      <c r="W62" s="49" t="e">
        <f ca="1">IF(Q62&gt;0,V62*((0.18/365)*T62),"")</f>
        <v>#VALUE!</v>
      </c>
      <c r="X62" s="50" t="e">
        <f ca="1">IF(Q62&gt;0,ROUND(U62,2)+ROUND(W62,2),"")</f>
        <v>#VALUE!</v>
      </c>
      <c r="Y62" s="51" t="e">
        <f ca="1">IF(Q62&gt;0,X62+Q62,"")</f>
        <v>#VALUE!</v>
      </c>
    </row>
    <row r="63" spans="2:25" ht="15.75" hidden="1" x14ac:dyDescent="0.25">
      <c r="M63" s="174">
        <f>VLOOKUP(P2,L65:M67,2,FALSE)</f>
        <v>1111</v>
      </c>
      <c r="N63" s="175"/>
      <c r="P63" s="59" t="s">
        <v>51</v>
      </c>
      <c r="Q63" s="46" t="str">
        <f>IF(bevORlodging="4.",TaxDue,TotalLodging30Plus)</f>
        <v/>
      </c>
      <c r="R63" s="47" t="str">
        <f>DueDate</f>
        <v/>
      </c>
      <c r="S63" s="47">
        <f ca="1">IF(ISBLANK(DatePaid),TODAY(),DatePaid)</f>
        <v>45673</v>
      </c>
      <c r="T63" s="48" t="e">
        <f ca="1">S63-R63</f>
        <v>#VALUE!</v>
      </c>
      <c r="U63" s="49" t="e">
        <f>IF(AND(Q63&gt;=0.01,Q63&lt;=66.69),10,IF(Q63&gt;=66.7,Q63*0.15,""))</f>
        <v>#VALUE!</v>
      </c>
      <c r="V63" s="49" t="e">
        <f>IF(Q63&gt;0,Q63+U63,"")</f>
        <v>#VALUE!</v>
      </c>
      <c r="W63" s="49" t="e">
        <f ca="1">IF(Q63&gt;0,V63*((0.18/365)*T63),"")</f>
        <v>#VALUE!</v>
      </c>
      <c r="X63" s="50" t="e">
        <f ca="1">IF(Q63&gt;0,ROUND(U63,2)+ROUND(W63,2),"")</f>
        <v>#VALUE!</v>
      </c>
      <c r="Y63" s="51" t="e">
        <f ca="1">IF(Q63&gt;0,X63+Q63,"")</f>
        <v>#VALUE!</v>
      </c>
    </row>
    <row r="64" spans="2:25" ht="15.75" hidden="1" x14ac:dyDescent="0.25">
      <c r="P64" s="59" t="s">
        <v>52</v>
      </c>
      <c r="Q64" s="46" t="str">
        <f>IF(bevORlodging="4.",TaxDue,TotalLodging30Plus)</f>
        <v/>
      </c>
      <c r="R64" s="47" t="str">
        <f>DueDate</f>
        <v/>
      </c>
      <c r="S64" s="47">
        <f ca="1">IF(ISBLANK(DatePaid),TODAY(),DatePaid)</f>
        <v>45673</v>
      </c>
      <c r="T64" s="48" t="e">
        <f ca="1">S64-R64</f>
        <v>#VALUE!</v>
      </c>
      <c r="U64" s="49" t="e">
        <f>IF(AND(Q64&gt;=0.01,Q64&lt;=66.69),10,IF(Q64&gt;=66.7,Q64*0.2,""))</f>
        <v>#VALUE!</v>
      </c>
      <c r="V64" s="49" t="e">
        <f>IF(Q64&gt;0,Q64+U64,"")</f>
        <v>#VALUE!</v>
      </c>
      <c r="W64" s="49" t="e">
        <f ca="1">IF(Q64&gt;0,V64*((0.18/365)*T64),"")</f>
        <v>#VALUE!</v>
      </c>
      <c r="X64" s="50" t="e">
        <f ca="1">IF(Q64&gt;0,ROUND(U64,2)+ROUND(W64,2),"")</f>
        <v>#VALUE!</v>
      </c>
      <c r="Y64" s="51" t="e">
        <f ca="1">IF(Q64&gt;0,X64+Q64,"")</f>
        <v>#VALUE!</v>
      </c>
    </row>
    <row r="65" spans="12:25" ht="16.5" hidden="1" thickBot="1" x14ac:dyDescent="0.3">
      <c r="L65" t="s">
        <v>78</v>
      </c>
      <c r="M65">
        <v>1111</v>
      </c>
      <c r="P65" s="60" t="s">
        <v>53</v>
      </c>
      <c r="Q65" s="52" t="str">
        <f>IF(bevORlodging="4.",TaxDue,TotalLodging30Plus)</f>
        <v/>
      </c>
      <c r="R65" s="53" t="str">
        <f>DueDate</f>
        <v/>
      </c>
      <c r="S65" s="53">
        <f ca="1">IF(ISBLANK(DatePaid),TODAY(),DatePaid)</f>
        <v>45673</v>
      </c>
      <c r="T65" s="54" t="e">
        <f ca="1">S65-R65</f>
        <v>#VALUE!</v>
      </c>
      <c r="U65" s="55" t="e">
        <f>IF(AND(Q65&gt;=0.01,Q65&lt;=40.01),10,IF(Q65&gt;=40.02,Q65*0.25,""))</f>
        <v>#VALUE!</v>
      </c>
      <c r="V65" s="55" t="e">
        <f>IF(Q65&gt;0,Q65+U65,"")</f>
        <v>#VALUE!</v>
      </c>
      <c r="W65" s="55" t="e">
        <f ca="1">IF(Q65&gt;0,V65*((0.18/365)*T65),"")</f>
        <v>#VALUE!</v>
      </c>
      <c r="X65" s="56" t="e">
        <f ca="1">IF(Q65&gt;0,ROUND(U65,2)+ROUND(W65,2),"")</f>
        <v>#VALUE!</v>
      </c>
      <c r="Y65" s="57" t="e">
        <f ca="1">IF(Q65&gt;0,X65+Q65,"")</f>
        <v>#VALUE!</v>
      </c>
    </row>
    <row r="66" spans="12:25" hidden="1" x14ac:dyDescent="0.25">
      <c r="L66" t="s">
        <v>80</v>
      </c>
      <c r="M66">
        <v>2222</v>
      </c>
    </row>
    <row r="67" spans="12:25" hidden="1" x14ac:dyDescent="0.25">
      <c r="L67" t="s">
        <v>79</v>
      </c>
      <c r="M67">
        <v>3333</v>
      </c>
    </row>
  </sheetData>
  <sheetProtection sheet="1" objects="1" scenarios="1"/>
  <mergeCells count="76">
    <mergeCell ref="M63:N63"/>
    <mergeCell ref="L29:L30"/>
    <mergeCell ref="P60:Y60"/>
    <mergeCell ref="L38:M40"/>
    <mergeCell ref="P56:T58"/>
    <mergeCell ref="M6:P6"/>
    <mergeCell ref="M7:P7"/>
    <mergeCell ref="M8:P8"/>
    <mergeCell ref="M9:P9"/>
    <mergeCell ref="K4:P5"/>
    <mergeCell ref="E48:I48"/>
    <mergeCell ref="B40:I41"/>
    <mergeCell ref="B48:C49"/>
    <mergeCell ref="D48:D49"/>
    <mergeCell ref="F46:I47"/>
    <mergeCell ref="F42:I43"/>
    <mergeCell ref="F44:I45"/>
    <mergeCell ref="E42:E43"/>
    <mergeCell ref="B42:C43"/>
    <mergeCell ref="E44:E45"/>
    <mergeCell ref="E46:E47"/>
    <mergeCell ref="B46:C47"/>
    <mergeCell ref="D42:D43"/>
    <mergeCell ref="B44:C45"/>
    <mergeCell ref="D44:D45"/>
    <mergeCell ref="D46:D47"/>
    <mergeCell ref="F59:H59"/>
    <mergeCell ref="E49:H49"/>
    <mergeCell ref="E50:H50"/>
    <mergeCell ref="E51:H51"/>
    <mergeCell ref="E52:H52"/>
    <mergeCell ref="E53:H53"/>
    <mergeCell ref="E55:H55"/>
    <mergeCell ref="E56:H56"/>
    <mergeCell ref="E58:I58"/>
    <mergeCell ref="H4:I6"/>
    <mergeCell ref="F1:I3"/>
    <mergeCell ref="B29:B30"/>
    <mergeCell ref="B32:B33"/>
    <mergeCell ref="B38:B39"/>
    <mergeCell ref="C38:D39"/>
    <mergeCell ref="B20:B21"/>
    <mergeCell ref="C20:C21"/>
    <mergeCell ref="B23:B24"/>
    <mergeCell ref="C23:C24"/>
    <mergeCell ref="B26:B27"/>
    <mergeCell ref="C26:D27"/>
    <mergeCell ref="C29:D30"/>
    <mergeCell ref="C32:D33"/>
    <mergeCell ref="D23:D24"/>
    <mergeCell ref="E20:I21"/>
    <mergeCell ref="K2:L2"/>
    <mergeCell ref="K1:L1"/>
    <mergeCell ref="B17:B18"/>
    <mergeCell ref="C17:C18"/>
    <mergeCell ref="G8:I10"/>
    <mergeCell ref="B13:C13"/>
    <mergeCell ref="B14:C14"/>
    <mergeCell ref="B15:C15"/>
    <mergeCell ref="B16:C16"/>
    <mergeCell ref="D13:I13"/>
    <mergeCell ref="E16:I16"/>
    <mergeCell ref="D17:D18"/>
    <mergeCell ref="G11:I12"/>
    <mergeCell ref="C8:E10"/>
    <mergeCell ref="D2:E5"/>
    <mergeCell ref="E17:I18"/>
    <mergeCell ref="D20:D21"/>
    <mergeCell ref="E23:I24"/>
    <mergeCell ref="F26:I27"/>
    <mergeCell ref="E26:E27"/>
    <mergeCell ref="E38:E39"/>
    <mergeCell ref="F29:I30"/>
    <mergeCell ref="F32:I33"/>
    <mergeCell ref="E29:E30"/>
    <mergeCell ref="E32:E33"/>
  </mergeCells>
  <conditionalFormatting sqref="D15:D16">
    <cfRule type="expression" dxfId="12" priority="1">
      <formula>ISBLANK(ReturnPeriod)</formula>
    </cfRule>
  </conditionalFormatting>
  <conditionalFormatting sqref="D23 E26 E29 E32">
    <cfRule type="expression" dxfId="11" priority="2">
      <formula>ISNUMBER(GrossSales)</formula>
    </cfRule>
  </conditionalFormatting>
  <conditionalFormatting sqref="E26:E27">
    <cfRule type="expression" dxfId="10" priority="14">
      <formula>$B$29="4b."</formula>
    </cfRule>
  </conditionalFormatting>
  <conditionalFormatting sqref="E29:E30 E32:E33">
    <cfRule type="expression" dxfId="9" priority="15">
      <formula>$B$29="4b."</formula>
    </cfRule>
  </conditionalFormatting>
  <conditionalFormatting sqref="H4:I6">
    <cfRule type="containsText" dxfId="8" priority="6" operator="containsText" text="ERROR">
      <formula>NOT(ISERROR(SEARCH("ERROR",H4)))</formula>
    </cfRule>
  </conditionalFormatting>
  <conditionalFormatting sqref="K1">
    <cfRule type="expression" dxfId="7" priority="16">
      <formula>K2="All Months"</formula>
    </cfRule>
  </conditionalFormatting>
  <conditionalFormatting sqref="L29:L30">
    <cfRule type="expression" dxfId="6" priority="9">
      <formula>DueDate+8&lt;TODAY()</formula>
    </cfRule>
  </conditionalFormatting>
  <conditionalFormatting sqref="N1">
    <cfRule type="expression" dxfId="5" priority="17">
      <formula>#REF!="All Months"</formula>
    </cfRule>
  </conditionalFormatting>
  <conditionalFormatting sqref="O2 N3:O3">
    <cfRule type="containsText" dxfId="4" priority="5" operator="containsText" text="Inactive Permit #">
      <formula>NOT(ISERROR(SEARCH("Inactive Permit #",N2)))</formula>
    </cfRule>
  </conditionalFormatting>
  <conditionalFormatting sqref="P1">
    <cfRule type="expression" dxfId="3" priority="3">
      <formula>#REF!="All Months"</formula>
    </cfRule>
  </conditionalFormatting>
  <conditionalFormatting sqref="Q62:S65">
    <cfRule type="notContainsBlanks" dxfId="2" priority="12">
      <formula>LEN(TRIM(Q62))&gt;0</formula>
    </cfRule>
    <cfRule type="containsBlanks" dxfId="1" priority="13">
      <formula>LEN(TRIM(Q62))=0</formula>
    </cfRule>
  </conditionalFormatting>
  <conditionalFormatting sqref="T62:Y65">
    <cfRule type="containsBlanks" dxfId="0" priority="11" stopIfTrue="1">
      <formula>LEN(TRIM(T62))=0</formula>
    </cfRule>
  </conditionalFormatting>
  <dataValidations count="7">
    <dataValidation type="list" allowBlank="1" showInputMessage="1" showErrorMessage="1" errorTitle="Must Select Permit Type" promptTitle="Select Permit Type" sqref="P2" xr:uid="{00000000-0002-0000-0000-000000000000}">
      <formula1>$L$65:$L$67</formula1>
    </dataValidation>
    <dataValidation type="whole" allowBlank="1" showInputMessage="1" showErrorMessage="1" errorTitle="Invalid" error="This is not a valid permit number.  Tourism tax permit numbers are 4 digits." promptTitle="Enter Permit #" prompt="Must be 4 digit permit number." sqref="D14" xr:uid="{00000000-0002-0000-0000-000001000000}">
      <formula1>1000</formula1>
      <formula2>9999</formula2>
    </dataValidation>
    <dataValidation type="textLength" allowBlank="1" showInputMessage="1" showErrorMessage="1" errorTitle="Name Invalid" error="Please enter location name." promptTitle="Location" prompt="Enter Location Name" sqref="D13:I13" xr:uid="{00000000-0002-0000-0000-000002000000}">
      <formula1>3</formula1>
      <formula2>250</formula2>
    </dataValidation>
    <dataValidation operator="greaterThan" allowBlank="1" showInputMessage="1" promptTitle="Business Closed?" prompt="Enter final date of taxable sales." sqref="G11:I12" xr:uid="{00000000-0002-0000-0000-000003000000}"/>
    <dataValidation type="decimal" operator="greaterThanOrEqual" allowBlank="1" showInputMessage="1" promptTitle="Gross Sales" prompt="Enter gross sales.  Cannot enter negative values." sqref="D17:D18" xr:uid="{00000000-0002-0000-0000-000004000000}">
      <formula1>0</formula1>
    </dataValidation>
    <dataValidation type="decimal" operator="greaterThanOrEqual" allowBlank="1" showInputMessage="1" showErrorMessage="1" errorTitle="Invalid Number" error="Enter deductions as positive number." promptTitle="Deductions" prompt="Enter deductions as a positive number.  Business expenses are NOT allowable deductions." sqref="D20:D21" xr:uid="{00000000-0002-0000-0000-000005000000}">
      <formula1>0</formula1>
    </dataValidation>
    <dataValidation allowBlank="1" showInputMessage="1" promptTitle="Amount Remitted" prompt="Enter the amount paid here.  If you are using credits, please enter zero." sqref="E38:E39" xr:uid="{00000000-0002-0000-0000-000006000000}"/>
  </dataValidations>
  <printOptions horizontalCentered="1" verticalCentered="1"/>
  <pageMargins left="0.25" right="0.25" top="0.25" bottom="0.25" header="0.3" footer="0.3"/>
  <pageSetup orientation="portrait" r:id="rId1"/>
  <ignoredErrors>
    <ignoredError sqref="B17 B20:B24 B35 B38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>
              <from>
                <xdr:col>1</xdr:col>
                <xdr:colOff>28575</xdr:colOff>
                <xdr:row>0</xdr:row>
                <xdr:rowOff>19050</xdr:rowOff>
              </from>
              <to>
                <xdr:col>3</xdr:col>
                <xdr:colOff>0</xdr:colOff>
                <xdr:row>4</xdr:row>
                <xdr:rowOff>76200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>
    <tabColor theme="6" tint="-0.249977111117893"/>
  </sheetPr>
  <dimension ref="A1:S5"/>
  <sheetViews>
    <sheetView topLeftCell="F1" workbookViewId="0">
      <selection activeCell="S4" sqref="S4"/>
    </sheetView>
  </sheetViews>
  <sheetFormatPr defaultRowHeight="15" x14ac:dyDescent="0.25"/>
  <cols>
    <col min="1" max="1" width="13.7109375" style="4" customWidth="1"/>
    <col min="2" max="2" width="34.28515625" style="4" bestFit="1" customWidth="1"/>
    <col min="3" max="3" width="33.5703125" style="4" customWidth="1"/>
    <col min="4" max="4" width="36.5703125" style="4" bestFit="1" customWidth="1"/>
    <col min="5" max="5" width="45.42578125" style="4" bestFit="1" customWidth="1"/>
    <col min="6" max="6" width="28.85546875" style="4" customWidth="1"/>
    <col min="7" max="7" width="8.7109375" style="4" customWidth="1"/>
    <col min="8" max="8" width="8" style="4" customWidth="1"/>
    <col min="9" max="9" width="11.7109375" style="4" customWidth="1"/>
    <col min="10" max="10" width="11.28515625" style="4" customWidth="1"/>
    <col min="11" max="11" width="20.28515625" style="4" customWidth="1"/>
    <col min="12" max="12" width="9.28515625" style="4" customWidth="1"/>
    <col min="13" max="13" width="16.7109375" style="4" customWidth="1"/>
    <col min="14" max="14" width="15.5703125" style="4" customWidth="1"/>
    <col min="15" max="15" width="26.85546875" style="4" customWidth="1"/>
    <col min="16" max="16" width="18.28515625" style="4" bestFit="1" customWidth="1"/>
    <col min="17" max="17" width="20.28515625" style="4" bestFit="1" customWidth="1"/>
    <col min="18" max="18" width="16.5703125" style="4" bestFit="1" customWidth="1"/>
    <col min="19" max="16384" width="9.140625" style="4"/>
  </cols>
  <sheetData>
    <row r="1" spans="1:19" s="5" customFormat="1" ht="30" x14ac:dyDescent="0.25">
      <c r="A1" s="5" t="s">
        <v>59</v>
      </c>
      <c r="B1" s="5" t="s">
        <v>60</v>
      </c>
      <c r="C1" s="5" t="s">
        <v>61</v>
      </c>
      <c r="D1" s="5" t="s">
        <v>62</v>
      </c>
      <c r="E1" s="5" t="s">
        <v>63</v>
      </c>
      <c r="F1" s="5" t="s">
        <v>64</v>
      </c>
      <c r="G1" s="5" t="s">
        <v>65</v>
      </c>
      <c r="H1" s="5" t="s">
        <v>66</v>
      </c>
      <c r="I1" s="5" t="s">
        <v>67</v>
      </c>
      <c r="J1" s="5" t="s">
        <v>21</v>
      </c>
      <c r="K1" s="5" t="s">
        <v>68</v>
      </c>
      <c r="L1" s="5" t="s">
        <v>22</v>
      </c>
      <c r="M1" s="5" t="s">
        <v>69</v>
      </c>
      <c r="N1" s="5" t="s">
        <v>70</v>
      </c>
      <c r="O1" s="8" t="s">
        <v>71</v>
      </c>
      <c r="P1" s="8" t="s">
        <v>72</v>
      </c>
      <c r="Q1" s="8" t="s">
        <v>73</v>
      </c>
      <c r="R1" s="8" t="s">
        <v>74</v>
      </c>
      <c r="S1" s="8" t="s">
        <v>75</v>
      </c>
    </row>
    <row r="2" spans="1:19" x14ac:dyDescent="0.25">
      <c r="A2"/>
      <c r="B2"/>
      <c r="C2"/>
      <c r="D2" s="9"/>
      <c r="E2"/>
      <c r="F2" s="9"/>
      <c r="G2"/>
      <c r="H2"/>
      <c r="I2"/>
      <c r="J2">
        <v>1111</v>
      </c>
      <c r="K2"/>
      <c r="L2" t="s">
        <v>24</v>
      </c>
      <c r="M2" s="10"/>
      <c r="N2" s="10"/>
      <c r="O2" s="6"/>
      <c r="P2" s="6"/>
      <c r="Q2" s="6"/>
      <c r="R2" s="7"/>
      <c r="S2" s="7"/>
    </row>
    <row r="3" spans="1:19" x14ac:dyDescent="0.25">
      <c r="A3"/>
      <c r="B3"/>
      <c r="C3"/>
      <c r="D3" s="9"/>
      <c r="E3"/>
      <c r="F3" s="9"/>
      <c r="G3"/>
      <c r="H3"/>
      <c r="I3"/>
      <c r="J3">
        <v>2222</v>
      </c>
      <c r="K3"/>
      <c r="L3" t="s">
        <v>26</v>
      </c>
      <c r="M3" s="10"/>
      <c r="N3" s="10"/>
      <c r="O3" s="6"/>
      <c r="P3" s="6"/>
      <c r="Q3" s="6"/>
      <c r="R3" s="7"/>
      <c r="S3" s="7"/>
    </row>
    <row r="4" spans="1:19" x14ac:dyDescent="0.25">
      <c r="A4"/>
      <c r="B4"/>
      <c r="C4"/>
      <c r="D4" s="9"/>
      <c r="E4"/>
      <c r="F4" s="9"/>
      <c r="G4"/>
      <c r="H4"/>
      <c r="I4"/>
      <c r="J4">
        <v>3333</v>
      </c>
      <c r="K4"/>
      <c r="L4" t="s">
        <v>27</v>
      </c>
      <c r="M4" s="11"/>
      <c r="N4" s="10"/>
      <c r="O4" s="6"/>
      <c r="P4" s="6"/>
      <c r="Q4" s="6"/>
      <c r="R4" s="7"/>
      <c r="S4" s="7"/>
    </row>
    <row r="5" spans="1:19" x14ac:dyDescent="0.25">
      <c r="A5"/>
      <c r="B5"/>
      <c r="C5"/>
      <c r="D5" s="9"/>
      <c r="E5"/>
      <c r="F5" s="9"/>
      <c r="G5"/>
      <c r="H5"/>
      <c r="I5"/>
      <c r="J5">
        <v>4444</v>
      </c>
      <c r="K5"/>
      <c r="L5" t="s">
        <v>26</v>
      </c>
      <c r="M5" s="11"/>
      <c r="N5" s="10"/>
      <c r="O5" s="6"/>
      <c r="P5" s="6"/>
      <c r="Q5" s="6"/>
      <c r="R5" s="7"/>
      <c r="S5" s="7"/>
    </row>
  </sheetData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46</vt:i4>
      </vt:variant>
    </vt:vector>
  </HeadingPairs>
  <TitlesOfParts>
    <vt:vector size="47" baseType="lpstr">
      <vt:lpstr>Tourism Tax Form</vt:lpstr>
      <vt:lpstr>ActiveMonths</vt:lpstr>
      <vt:lpstr>Adjustments</vt:lpstr>
      <vt:lpstr>bevORlodging</vt:lpstr>
      <vt:lpstr>CityTaxInfo</vt:lpstr>
      <vt:lpstr>DatePaid</vt:lpstr>
      <vt:lpstr>DateSigned</vt:lpstr>
      <vt:lpstr>DaysLate</vt:lpstr>
      <vt:lpstr>Deductions</vt:lpstr>
      <vt:lpstr>DueDate</vt:lpstr>
      <vt:lpstr>Email</vt:lpstr>
      <vt:lpstr>GrossSales</vt:lpstr>
      <vt:lpstr>Interest</vt:lpstr>
      <vt:lpstr>Interest1</vt:lpstr>
      <vt:lpstr>Interest2</vt:lpstr>
      <vt:lpstr>Interest3</vt:lpstr>
      <vt:lpstr>Interest4</vt:lpstr>
      <vt:lpstr>LiquorTaxInfo</vt:lpstr>
      <vt:lpstr>LODGING30PLUS</vt:lpstr>
      <vt:lpstr>MNTaxInfo</vt:lpstr>
      <vt:lpstr>NetSales</vt:lpstr>
      <vt:lpstr>oob</vt:lpstr>
      <vt:lpstr>OrgAddress</vt:lpstr>
      <vt:lpstr>OrgName</vt:lpstr>
      <vt:lpstr>Penalty1</vt:lpstr>
      <vt:lpstr>Penalty2</vt:lpstr>
      <vt:lpstr>Penalty3</vt:lpstr>
      <vt:lpstr>Penalty4</vt:lpstr>
      <vt:lpstr>PenaltyDue</vt:lpstr>
      <vt:lpstr>PeriodReturn</vt:lpstr>
      <vt:lpstr>Permit</vt:lpstr>
      <vt:lpstr>PermitLocation</vt:lpstr>
      <vt:lpstr>PermitNumber</vt:lpstr>
      <vt:lpstr>Phone</vt:lpstr>
      <vt:lpstr>'FB Permit Register Report'!Print_Area</vt:lpstr>
      <vt:lpstr>'Tourism Tax Form'!Print_Area</vt:lpstr>
      <vt:lpstr>PrintName</vt:lpstr>
      <vt:lpstr>Remitted</vt:lpstr>
      <vt:lpstr>ReturnPeriod</vt:lpstr>
      <vt:lpstr>SLCTaxInfo</vt:lpstr>
      <vt:lpstr>TaxDue</vt:lpstr>
      <vt:lpstr>TaxInfo1</vt:lpstr>
      <vt:lpstr>TaxTotal1</vt:lpstr>
      <vt:lpstr>TaxTotal2</vt:lpstr>
      <vt:lpstr>Title</vt:lpstr>
      <vt:lpstr>TotalLodging30Plus</vt:lpstr>
      <vt:lpstr>TourismTaxInfo</vt:lpstr>
    </vt:vector>
  </TitlesOfParts>
  <Company>City of Duluth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Blevins</dc:creator>
  <cp:lastModifiedBy>Leah Blevins</cp:lastModifiedBy>
  <cp:lastPrinted>2022-01-05T16:36:07Z</cp:lastPrinted>
  <dcterms:created xsi:type="dcterms:W3CDTF">2021-12-03T21:11:27Z</dcterms:created>
  <dcterms:modified xsi:type="dcterms:W3CDTF">2025-01-16T20:28:05Z</dcterms:modified>
</cp:coreProperties>
</file>